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firstSheet="3" activeTab="4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OSIÇÃO 01" sheetId="7" r:id="rId6"/>
    <sheet name="COMPOSIÇÃO 02" sheetId="17" r:id="rId7"/>
    <sheet name="COMPOSIÇÃO 03" sheetId="16" r:id="rId8"/>
    <sheet name="COMPOSIÇÃO 04" sheetId="15" r:id="rId9"/>
    <sheet name="COMPOSIÇÃO 05" sheetId="14" r:id="rId10"/>
    <sheet name="COMPOSIÇÃO 06" sheetId="13" r:id="rId11"/>
    <sheet name="COMPOSIÇÃO 07" sheetId="12" r:id="rId12"/>
    <sheet name="COMPOSIÇÃO 08" sheetId="11" r:id="rId13"/>
    <sheet name="COMPOSIÇÃO 09" sheetId="10" r:id="rId14"/>
    <sheet name="COMPOSIÇÃO 10" sheetId="9" r:id="rId15"/>
    <sheet name="COMPOSIÇÃO 11" sheetId="8" r:id="rId16"/>
    <sheet name="COMPOSIÇÃO 12" sheetId="22" r:id="rId17"/>
  </sheets>
  <definedNames>
    <definedName name="_xlnm.Print_Area" localSheetId="0">BDI!$A$1:$D$51</definedName>
    <definedName name="_xlnm.Print_Area" localSheetId="5">'COMPOSIÇÃO 01'!$A$1:$I$25</definedName>
    <definedName name="_xlnm.Print_Area" localSheetId="6">'COMPOSIÇÃO 02'!$A$1:$I$24</definedName>
    <definedName name="_xlnm.Print_Area" localSheetId="7">'COMPOSIÇÃO 03'!$A$1:$I$24</definedName>
    <definedName name="_xlnm.Print_Area" localSheetId="8">'COMPOSIÇÃO 04'!$A$1:$I$25</definedName>
    <definedName name="_xlnm.Print_Area" localSheetId="9">'COMPOSIÇÃO 05'!$A$1:$I$25</definedName>
    <definedName name="_xlnm.Print_Area" localSheetId="10">'COMPOSIÇÃO 06'!$A$1:$I$25</definedName>
    <definedName name="_xlnm.Print_Area" localSheetId="11">'COMPOSIÇÃO 07'!$A$1:$I$25</definedName>
    <definedName name="_xlnm.Print_Area" localSheetId="12">'COMPOSIÇÃO 08'!$A$1:$I$28</definedName>
    <definedName name="_xlnm.Print_Area" localSheetId="13">'COMPOSIÇÃO 09'!$A$1:$I$25</definedName>
    <definedName name="_xlnm.Print_Area" localSheetId="14">'COMPOSIÇÃO 10'!$A$1:$I$25</definedName>
    <definedName name="_xlnm.Print_Area" localSheetId="15">'COMPOSIÇÃO 11'!$A$1:$I$26</definedName>
    <definedName name="_xlnm.Print_Area" localSheetId="4">'CRONOGRAMA FISICO FINANCEIRO'!$A$1:$J$41</definedName>
    <definedName name="_xlnm.Print_Area" localSheetId="2">'MEMÓRIA DE CÁLCULO'!$A$1:$J$633</definedName>
    <definedName name="_xlnm.Print_Area" localSheetId="3">ORÇAMENTO!$A$1:$K$169</definedName>
    <definedName name="Excel_BuiltIn_Print_Area_1_1" localSheetId="16">#REF!</definedName>
    <definedName name="Excel_BuiltIn_Print_Area_1_1">#REF!</definedName>
    <definedName name="Excel_BuiltIn_Print_Area_2_1">"$#REF!.$A$1:$J$410"</definedName>
    <definedName name="Excel_BuiltIn_Print_Area_3_1" localSheetId="16">#REF!</definedName>
    <definedName name="Excel_BuiltIn_Print_Area_3_1">#REF!</definedName>
    <definedName name="Excel_BuiltIn_Print_Area_3_1_1" localSheetId="16">#REF!</definedName>
    <definedName name="Excel_BuiltIn_Print_Area_3_1_1">#REF!</definedName>
    <definedName name="Excel_BuiltIn_Print_Area_4" localSheetId="16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 localSheetId="16">#REF!</definedName>
    <definedName name="rryr6y6y">#REF!</definedName>
    <definedName name="TABLE_1" localSheetId="5">#REF!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 localSheetId="10">#REF!</definedName>
    <definedName name="TABLE_1" localSheetId="11">#REF!</definedName>
    <definedName name="TABLE_1" localSheetId="12">#REF!</definedName>
    <definedName name="TABLE_1" localSheetId="13">#REF!</definedName>
    <definedName name="TABLE_1" localSheetId="14">#REF!</definedName>
    <definedName name="TABLE_1" localSheetId="15">#REF!</definedName>
    <definedName name="TABLE_1" localSheetId="16">#REF!</definedName>
    <definedName name="TABLE_1">#REF!</definedName>
    <definedName name="TABLE_1_1">NA()</definedName>
    <definedName name="TABLE_1_7">NA()</definedName>
    <definedName name="TABLE_2_1" localSheetId="5">#REF!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 localSheetId="10">#REF!</definedName>
    <definedName name="TABLE_2_1" localSheetId="11">#REF!</definedName>
    <definedName name="TABLE_2_1" localSheetId="12">#REF!</definedName>
    <definedName name="TABLE_2_1" localSheetId="13">#REF!</definedName>
    <definedName name="TABLE_2_1" localSheetId="14">#REF!</definedName>
    <definedName name="TABLE_2_1" localSheetId="15">#REF!</definedName>
    <definedName name="TABLE_2_1" localSheetId="16">#REF!</definedName>
    <definedName name="TABLE_2_1">#REF!</definedName>
    <definedName name="TABLE_2_1_1">NA()</definedName>
    <definedName name="TABLE_2_1_7">NA()</definedName>
  </definedNames>
  <calcPr calcId="144525"/>
</workbook>
</file>

<file path=xl/calcChain.xml><?xml version="1.0" encoding="utf-8"?>
<calcChain xmlns="http://schemas.openxmlformats.org/spreadsheetml/2006/main">
  <c r="F22" i="22" l="1"/>
  <c r="J315" i="3"/>
  <c r="I34" i="2"/>
  <c r="F6" i="16"/>
  <c r="K139" i="3"/>
  <c r="K141" i="3"/>
  <c r="K143" i="3"/>
  <c r="M145" i="3" s="1"/>
  <c r="O145" i="3" s="1"/>
  <c r="K144" i="3"/>
  <c r="K145" i="3"/>
  <c r="K138" i="3"/>
  <c r="J166" i="2"/>
  <c r="K166" i="2" s="1"/>
  <c r="N166" i="2"/>
  <c r="F628" i="3"/>
  <c r="H628" i="3"/>
  <c r="F627" i="3"/>
  <c r="H627" i="3" s="1"/>
  <c r="J165" i="2"/>
  <c r="K165" i="2" s="1"/>
  <c r="J281" i="3"/>
  <c r="J280" i="3"/>
  <c r="J275" i="3"/>
  <c r="J274" i="3"/>
  <c r="J273" i="3"/>
  <c r="J272" i="3"/>
  <c r="J271" i="3"/>
  <c r="J270" i="3"/>
  <c r="J58" i="2"/>
  <c r="H58" i="2"/>
  <c r="J57" i="2"/>
  <c r="K57" i="2" s="1"/>
  <c r="J132" i="3"/>
  <c r="J131" i="3"/>
  <c r="G32" i="2"/>
  <c r="J32" i="2"/>
  <c r="K32" i="2" s="1"/>
  <c r="F161" i="3"/>
  <c r="J624" i="3" l="1"/>
  <c r="K58" i="2"/>
  <c r="J277" i="3"/>
  <c r="J267" i="3"/>
  <c r="F163" i="3"/>
  <c r="J163" i="3" s="1"/>
  <c r="J161" i="3"/>
  <c r="J610" i="3"/>
  <c r="J609" i="3"/>
  <c r="J608" i="3"/>
  <c r="J607" i="3"/>
  <c r="H604" i="3"/>
  <c r="J604" i="3" s="1"/>
  <c r="J603" i="3"/>
  <c r="J602" i="3"/>
  <c r="J601" i="3"/>
  <c r="F600" i="3"/>
  <c r="J600" i="3" s="1"/>
  <c r="J599" i="3"/>
  <c r="J597" i="3"/>
  <c r="J596" i="3"/>
  <c r="J595" i="3"/>
  <c r="J594" i="3"/>
  <c r="J589" i="3"/>
  <c r="J588" i="3"/>
  <c r="F579" i="3"/>
  <c r="J579" i="3" s="1"/>
  <c r="J591" i="3" l="1"/>
  <c r="J265" i="3"/>
  <c r="J264" i="3"/>
  <c r="J263" i="3"/>
  <c r="J262" i="3"/>
  <c r="J261" i="3"/>
  <c r="J260" i="3"/>
  <c r="J251" i="3"/>
  <c r="J252" i="3"/>
  <c r="J253" i="3"/>
  <c r="J254" i="3"/>
  <c r="J255" i="3"/>
  <c r="J250" i="3"/>
  <c r="J243" i="3"/>
  <c r="J242" i="3"/>
  <c r="J52" i="2"/>
  <c r="K52" i="2" s="1"/>
  <c r="J51" i="2"/>
  <c r="K51" i="2" s="1"/>
  <c r="J237" i="3"/>
  <c r="J236" i="3"/>
  <c r="J235" i="3"/>
  <c r="J230" i="3"/>
  <c r="F229" i="3"/>
  <c r="J229" i="3" s="1"/>
  <c r="J228" i="3"/>
  <c r="F166" i="3"/>
  <c r="J166" i="3" s="1"/>
  <c r="F184" i="3"/>
  <c r="J184" i="3" s="1"/>
  <c r="J171" i="3"/>
  <c r="F170" i="3"/>
  <c r="J170" i="3" s="1"/>
  <c r="F169" i="3"/>
  <c r="J169" i="3" s="1"/>
  <c r="J38" i="2"/>
  <c r="K38" i="2" s="1"/>
  <c r="G38" i="2"/>
  <c r="J181" i="3"/>
  <c r="F183" i="3"/>
  <c r="J183" i="3" s="1"/>
  <c r="F182" i="3"/>
  <c r="J182" i="3" s="1"/>
  <c r="J179" i="3"/>
  <c r="F178" i="3"/>
  <c r="J178" i="3" s="1"/>
  <c r="F186" i="3"/>
  <c r="J186" i="3" s="1"/>
  <c r="H185" i="3"/>
  <c r="J185" i="3" s="1"/>
  <c r="J180" i="3"/>
  <c r="J177" i="3"/>
  <c r="F168" i="3"/>
  <c r="J168" i="3" s="1"/>
  <c r="H167" i="3"/>
  <c r="J167" i="3" s="1"/>
  <c r="F165" i="3"/>
  <c r="J165" i="3" s="1"/>
  <c r="F164" i="3"/>
  <c r="G164" i="3"/>
  <c r="F160" i="3"/>
  <c r="J107" i="3"/>
  <c r="J106" i="3"/>
  <c r="J105" i="3"/>
  <c r="J104" i="3"/>
  <c r="J108" i="3"/>
  <c r="F152" i="3"/>
  <c r="E152" i="3"/>
  <c r="J34" i="2"/>
  <c r="K34" i="2" s="1"/>
  <c r="J257" i="3" l="1"/>
  <c r="J247" i="3"/>
  <c r="J239" i="3"/>
  <c r="J232" i="3"/>
  <c r="J187" i="3"/>
  <c r="J174" i="3" s="1"/>
  <c r="J152" i="3"/>
  <c r="J149" i="3" s="1"/>
  <c r="J109" i="3"/>
  <c r="J101" i="3" s="1"/>
  <c r="G87" i="3" l="1"/>
  <c r="J87" i="3" s="1"/>
  <c r="J52" i="3"/>
  <c r="J53" i="3"/>
  <c r="J54" i="3"/>
  <c r="J51" i="3"/>
  <c r="J50" i="3"/>
  <c r="J160" i="3"/>
  <c r="J164" i="3"/>
  <c r="J159" i="3"/>
  <c r="J143" i="3"/>
  <c r="J144" i="3"/>
  <c r="J145" i="3"/>
  <c r="J130" i="3"/>
  <c r="J129" i="3"/>
  <c r="J128" i="3"/>
  <c r="J139" i="3"/>
  <c r="J141" i="3"/>
  <c r="J138" i="3"/>
  <c r="F142" i="3"/>
  <c r="F140" i="3"/>
  <c r="J126" i="3"/>
  <c r="J127" i="3"/>
  <c r="J124" i="3"/>
  <c r="J125" i="3"/>
  <c r="J123" i="3"/>
  <c r="J89" i="3"/>
  <c r="J90" i="3"/>
  <c r="J91" i="3"/>
  <c r="J88" i="3"/>
  <c r="H100" i="3"/>
  <c r="H116" i="3" s="1"/>
  <c r="J116" i="3" s="1"/>
  <c r="J114" i="3" s="1"/>
  <c r="J74" i="3"/>
  <c r="J75" i="3"/>
  <c r="J76" i="3"/>
  <c r="J77" i="3"/>
  <c r="C28" i="2"/>
  <c r="J82" i="3"/>
  <c r="J73" i="3"/>
  <c r="J40" i="2"/>
  <c r="J197" i="3"/>
  <c r="J616" i="3"/>
  <c r="J617" i="3"/>
  <c r="J618" i="3"/>
  <c r="J615" i="3"/>
  <c r="J162" i="2"/>
  <c r="K162" i="2" s="1"/>
  <c r="J12" i="2"/>
  <c r="L111" i="2"/>
  <c r="H29" i="24"/>
  <c r="G29" i="24"/>
  <c r="H435" i="3"/>
  <c r="J142" i="3" l="1"/>
  <c r="K142" i="3"/>
  <c r="J140" i="3"/>
  <c r="K140" i="3"/>
  <c r="J120" i="3"/>
  <c r="J162" i="3"/>
  <c r="J172" i="3" s="1"/>
  <c r="J100" i="3"/>
  <c r="J70" i="3"/>
  <c r="J136" i="3"/>
  <c r="K40" i="2"/>
  <c r="J195" i="3"/>
  <c r="J612" i="3"/>
  <c r="J536" i="3"/>
  <c r="M142" i="3" l="1"/>
  <c r="O142" i="3" s="1"/>
  <c r="O146" i="3" s="1"/>
  <c r="J111" i="2"/>
  <c r="K111" i="2" l="1"/>
  <c r="H633" i="3" l="1"/>
  <c r="J630" i="3" s="1"/>
  <c r="J167" i="2"/>
  <c r="B36" i="24"/>
  <c r="B34" i="24"/>
  <c r="B32" i="24"/>
  <c r="B30" i="24"/>
  <c r="B28" i="24"/>
  <c r="B26" i="24"/>
  <c r="B24" i="24"/>
  <c r="K167" i="2" l="1"/>
  <c r="K168" i="2" s="1"/>
  <c r="C38" i="24" l="1"/>
  <c r="I38" i="24" s="1"/>
  <c r="J38" i="24" s="1"/>
  <c r="J39" i="24" s="1"/>
  <c r="B26" i="23"/>
  <c r="B22" i="23"/>
  <c r="I21" i="22"/>
  <c r="I13" i="22"/>
  <c r="I14" i="22"/>
  <c r="I15" i="22"/>
  <c r="I16" i="22"/>
  <c r="I17" i="22"/>
  <c r="I18" i="22"/>
  <c r="I19" i="22"/>
  <c r="I20" i="22"/>
  <c r="H22" i="22"/>
  <c r="I22" i="22"/>
  <c r="I23" i="22"/>
  <c r="I24" i="22"/>
  <c r="I12" i="22"/>
  <c r="I7" i="22"/>
  <c r="I25" i="22" l="1"/>
  <c r="I29" i="22" s="1"/>
  <c r="B31" i="23"/>
  <c r="B38" i="23"/>
  <c r="J578" i="3"/>
  <c r="J576" i="3"/>
  <c r="J575" i="3"/>
  <c r="J574" i="3"/>
  <c r="F227" i="3"/>
  <c r="J227" i="3" s="1"/>
  <c r="H583" i="3"/>
  <c r="J583" i="3" s="1"/>
  <c r="J582" i="3"/>
  <c r="J160" i="2"/>
  <c r="J161" i="2"/>
  <c r="J587" i="3"/>
  <c r="J586" i="3"/>
  <c r="J581" i="3"/>
  <c r="J580" i="3"/>
  <c r="J573" i="3"/>
  <c r="F226" i="3"/>
  <c r="J226" i="3" s="1"/>
  <c r="J28" i="2"/>
  <c r="J47" i="2"/>
  <c r="J218" i="3"/>
  <c r="J217" i="3"/>
  <c r="J33" i="2"/>
  <c r="J29" i="2"/>
  <c r="J99" i="3"/>
  <c r="J98" i="3"/>
  <c r="J97" i="3"/>
  <c r="J96" i="3"/>
  <c r="H11" i="17"/>
  <c r="I10" i="17"/>
  <c r="I11" i="17" s="1"/>
  <c r="F6" i="17"/>
  <c r="I6" i="17" s="1"/>
  <c r="I7" i="17" s="1"/>
  <c r="I15" i="17" s="1"/>
  <c r="H11" i="16"/>
  <c r="I10" i="16"/>
  <c r="I11" i="16" s="1"/>
  <c r="I6" i="16"/>
  <c r="I7" i="16" s="1"/>
  <c r="I15" i="16" s="1"/>
  <c r="I11" i="15"/>
  <c r="I12" i="15" s="1"/>
  <c r="F7" i="15"/>
  <c r="I7" i="15" s="1"/>
  <c r="F6" i="15"/>
  <c r="I6" i="15" s="1"/>
  <c r="H12" i="14"/>
  <c r="H11" i="14"/>
  <c r="I11" i="14" s="1"/>
  <c r="I12" i="14" s="1"/>
  <c r="F7" i="14"/>
  <c r="I7" i="14" s="1"/>
  <c r="F6" i="14"/>
  <c r="I6" i="14" s="1"/>
  <c r="H12" i="13"/>
  <c r="I11" i="13"/>
  <c r="I12" i="13" s="1"/>
  <c r="F7" i="13"/>
  <c r="I7" i="13" s="1"/>
  <c r="F6" i="13"/>
  <c r="I6" i="13" s="1"/>
  <c r="H12" i="12"/>
  <c r="I11" i="12"/>
  <c r="I12" i="12" s="1"/>
  <c r="F7" i="12"/>
  <c r="I7" i="12" s="1"/>
  <c r="F6" i="12"/>
  <c r="I6" i="12" s="1"/>
  <c r="H15" i="11"/>
  <c r="I14" i="11"/>
  <c r="I13" i="11"/>
  <c r="I12" i="11"/>
  <c r="I11" i="11"/>
  <c r="F7" i="11"/>
  <c r="I7" i="11" s="1"/>
  <c r="F6" i="11"/>
  <c r="I6" i="11" s="1"/>
  <c r="H12" i="10"/>
  <c r="I11" i="10"/>
  <c r="I12" i="10" s="1"/>
  <c r="F7" i="10"/>
  <c r="I7" i="10" s="1"/>
  <c r="F6" i="10"/>
  <c r="I6" i="10" s="1"/>
  <c r="H12" i="9"/>
  <c r="I11" i="9"/>
  <c r="I12" i="9" s="1"/>
  <c r="F7" i="9"/>
  <c r="I7" i="9" s="1"/>
  <c r="F6" i="9"/>
  <c r="I6" i="9" s="1"/>
  <c r="H13" i="8"/>
  <c r="I12" i="8"/>
  <c r="I13" i="8" s="1"/>
  <c r="F8" i="8"/>
  <c r="I8" i="8" s="1"/>
  <c r="F7" i="8"/>
  <c r="I7" i="8" s="1"/>
  <c r="F6" i="8"/>
  <c r="I6" i="8" s="1"/>
  <c r="H12" i="7"/>
  <c r="I11" i="7"/>
  <c r="I12" i="7" s="1"/>
  <c r="F7" i="7"/>
  <c r="I7" i="7" s="1"/>
  <c r="F6" i="7"/>
  <c r="I6" i="7" s="1"/>
  <c r="J565" i="3"/>
  <c r="I565" i="3"/>
  <c r="J562" i="3"/>
  <c r="I562" i="3"/>
  <c r="J559" i="3"/>
  <c r="I559" i="3"/>
  <c r="J556" i="3"/>
  <c r="I556" i="3"/>
  <c r="J553" i="3"/>
  <c r="I553" i="3"/>
  <c r="J550" i="3"/>
  <c r="I550" i="3"/>
  <c r="G152" i="2" s="1"/>
  <c r="J547" i="3"/>
  <c r="I547" i="3"/>
  <c r="G151" i="2" s="1"/>
  <c r="J544" i="3"/>
  <c r="I544" i="3"/>
  <c r="G150" i="2" s="1"/>
  <c r="J541" i="3"/>
  <c r="I541" i="3"/>
  <c r="G149" i="2" s="1"/>
  <c r="J533" i="3"/>
  <c r="I533" i="3"/>
  <c r="J530" i="3"/>
  <c r="I530" i="3"/>
  <c r="J527" i="3"/>
  <c r="I527" i="3"/>
  <c r="J524" i="3"/>
  <c r="I524" i="3"/>
  <c r="J521" i="3"/>
  <c r="I521" i="3"/>
  <c r="J518" i="3"/>
  <c r="I518" i="3"/>
  <c r="J515" i="3"/>
  <c r="I515" i="3"/>
  <c r="J512" i="3"/>
  <c r="I512" i="3"/>
  <c r="J509" i="3"/>
  <c r="I509" i="3"/>
  <c r="J506" i="3"/>
  <c r="I506" i="3"/>
  <c r="J503" i="3"/>
  <c r="I503" i="3"/>
  <c r="J500" i="3"/>
  <c r="I500" i="3"/>
  <c r="J497" i="3"/>
  <c r="I497" i="3"/>
  <c r="J494" i="3"/>
  <c r="I494" i="3"/>
  <c r="J491" i="3"/>
  <c r="I491" i="3"/>
  <c r="J488" i="3"/>
  <c r="I488" i="3"/>
  <c r="J485" i="3"/>
  <c r="I485" i="3"/>
  <c r="J482" i="3"/>
  <c r="I482" i="3"/>
  <c r="J479" i="3"/>
  <c r="I479" i="3"/>
  <c r="J476" i="3"/>
  <c r="I476" i="3"/>
  <c r="J473" i="3"/>
  <c r="I473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2" i="3"/>
  <c r="I432" i="3"/>
  <c r="G110" i="2" s="1"/>
  <c r="J429" i="3"/>
  <c r="I429" i="3"/>
  <c r="G109" i="2" s="1"/>
  <c r="J426" i="3"/>
  <c r="I426" i="3"/>
  <c r="G108" i="2" s="1"/>
  <c r="J423" i="3"/>
  <c r="I423" i="3"/>
  <c r="G107" i="2" s="1"/>
  <c r="J420" i="3"/>
  <c r="I420" i="3"/>
  <c r="G106" i="2" s="1"/>
  <c r="J417" i="3"/>
  <c r="I417" i="3"/>
  <c r="G105" i="2" s="1"/>
  <c r="J414" i="3"/>
  <c r="I414" i="3"/>
  <c r="G104" i="2" s="1"/>
  <c r="J411" i="3"/>
  <c r="I411" i="3"/>
  <c r="G103" i="2" s="1"/>
  <c r="J408" i="3"/>
  <c r="I408" i="3"/>
  <c r="G102" i="2" s="1"/>
  <c r="J405" i="3"/>
  <c r="I405" i="3"/>
  <c r="G101" i="2" s="1"/>
  <c r="J402" i="3"/>
  <c r="I402" i="3"/>
  <c r="G100" i="2" s="1"/>
  <c r="J399" i="3"/>
  <c r="I399" i="3"/>
  <c r="G99" i="2" s="1"/>
  <c r="J396" i="3"/>
  <c r="I396" i="3"/>
  <c r="G98" i="2" s="1"/>
  <c r="J393" i="3"/>
  <c r="I393" i="3"/>
  <c r="G97" i="2" s="1"/>
  <c r="J390" i="3"/>
  <c r="I390" i="3"/>
  <c r="G96" i="2" s="1"/>
  <c r="J387" i="3"/>
  <c r="I387" i="3"/>
  <c r="G95" i="2" s="1"/>
  <c r="J384" i="3"/>
  <c r="I384" i="3"/>
  <c r="G94" i="2" s="1"/>
  <c r="J381" i="3"/>
  <c r="I381" i="3"/>
  <c r="G93" i="2" s="1"/>
  <c r="J378" i="3"/>
  <c r="I378" i="3"/>
  <c r="G92" i="2" s="1"/>
  <c r="J375" i="3"/>
  <c r="I375" i="3"/>
  <c r="G91" i="2" s="1"/>
  <c r="J372" i="3"/>
  <c r="I372" i="3"/>
  <c r="G90" i="2" s="1"/>
  <c r="J369" i="3"/>
  <c r="I369" i="3"/>
  <c r="G89" i="2" s="1"/>
  <c r="J366" i="3"/>
  <c r="I366" i="3"/>
  <c r="G88" i="2" s="1"/>
  <c r="J363" i="3"/>
  <c r="I363" i="3"/>
  <c r="G87" i="2" s="1"/>
  <c r="J360" i="3"/>
  <c r="J357" i="3"/>
  <c r="I357" i="3"/>
  <c r="G85" i="2" s="1"/>
  <c r="J354" i="3"/>
  <c r="I354" i="3"/>
  <c r="G84" i="2" s="1"/>
  <c r="J351" i="3"/>
  <c r="I351" i="3"/>
  <c r="G83" i="2" s="1"/>
  <c r="J348" i="3"/>
  <c r="I348" i="3"/>
  <c r="G82" i="2" s="1"/>
  <c r="J345" i="3"/>
  <c r="I345" i="3"/>
  <c r="G81" i="2" s="1"/>
  <c r="J342" i="3"/>
  <c r="I342" i="3"/>
  <c r="G80" i="2" s="1"/>
  <c r="J339" i="3"/>
  <c r="I339" i="3"/>
  <c r="G79" i="2" s="1"/>
  <c r="J336" i="3"/>
  <c r="I336" i="3"/>
  <c r="G78" i="2" s="1"/>
  <c r="J333" i="3"/>
  <c r="I333" i="3"/>
  <c r="G77" i="2" s="1"/>
  <c r="J330" i="3"/>
  <c r="I330" i="3"/>
  <c r="G76" i="2" s="1"/>
  <c r="J327" i="3"/>
  <c r="I327" i="3"/>
  <c r="G75" i="2" s="1"/>
  <c r="J324" i="3"/>
  <c r="I324" i="3"/>
  <c r="G74" i="2" s="1"/>
  <c r="J321" i="3"/>
  <c r="I321" i="3"/>
  <c r="G73" i="2" s="1"/>
  <c r="J318" i="3"/>
  <c r="I318" i="3"/>
  <c r="G72" i="2" s="1"/>
  <c r="I315" i="3"/>
  <c r="G71" i="2" s="1"/>
  <c r="J312" i="3"/>
  <c r="I312" i="3"/>
  <c r="G70" i="2" s="1"/>
  <c r="J309" i="3"/>
  <c r="I309" i="3"/>
  <c r="G69" i="2" s="1"/>
  <c r="J306" i="3"/>
  <c r="I306" i="3"/>
  <c r="G68" i="2" s="1"/>
  <c r="J303" i="3"/>
  <c r="I303" i="3"/>
  <c r="G67" i="2" s="1"/>
  <c r="J300" i="3"/>
  <c r="I300" i="3"/>
  <c r="G66" i="2" s="1"/>
  <c r="J297" i="3"/>
  <c r="I297" i="3"/>
  <c r="G65" i="2" s="1"/>
  <c r="J294" i="3"/>
  <c r="I294" i="3"/>
  <c r="G64" i="2" s="1"/>
  <c r="J291" i="3"/>
  <c r="J288" i="3"/>
  <c r="J285" i="3"/>
  <c r="J213" i="3"/>
  <c r="J212" i="3"/>
  <c r="J206" i="3"/>
  <c r="J205" i="3"/>
  <c r="J204" i="3"/>
  <c r="J203" i="3"/>
  <c r="J193" i="3"/>
  <c r="J192" i="3"/>
  <c r="J59" i="3"/>
  <c r="J36" i="3"/>
  <c r="J31" i="3"/>
  <c r="I29" i="3"/>
  <c r="J26" i="3" s="1"/>
  <c r="H19" i="3"/>
  <c r="J16" i="3" s="1"/>
  <c r="H14" i="3"/>
  <c r="J11" i="3" s="1"/>
  <c r="J157" i="2"/>
  <c r="J156" i="2"/>
  <c r="J155" i="2"/>
  <c r="J154" i="2"/>
  <c r="J153" i="2"/>
  <c r="G153" i="2"/>
  <c r="J152" i="2"/>
  <c r="K152" i="2" s="1"/>
  <c r="J151" i="2"/>
  <c r="J150" i="2"/>
  <c r="K150" i="2" s="1"/>
  <c r="J149" i="2"/>
  <c r="J141" i="2"/>
  <c r="K141" i="2" s="1"/>
  <c r="J140" i="2"/>
  <c r="K140" i="2" s="1"/>
  <c r="J139" i="2"/>
  <c r="K139" i="2" s="1"/>
  <c r="J136" i="2"/>
  <c r="K136" i="2" s="1"/>
  <c r="J135" i="2"/>
  <c r="K135" i="2" s="1"/>
  <c r="J134" i="2"/>
  <c r="K134" i="2" s="1"/>
  <c r="J131" i="2"/>
  <c r="K131" i="2" s="1"/>
  <c r="J130" i="2"/>
  <c r="K130" i="2" s="1"/>
  <c r="J129" i="2"/>
  <c r="K129" i="2" s="1"/>
  <c r="J128" i="2"/>
  <c r="K128" i="2" s="1"/>
  <c r="J127" i="2"/>
  <c r="K127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5" i="2"/>
  <c r="K115" i="2" s="1"/>
  <c r="J114" i="2"/>
  <c r="K114" i="2" s="1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G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K72" i="2" s="1"/>
  <c r="J71" i="2"/>
  <c r="K71" i="2" s="1"/>
  <c r="J70" i="2"/>
  <c r="J69" i="2"/>
  <c r="J68" i="2"/>
  <c r="J67" i="2"/>
  <c r="J66" i="2"/>
  <c r="J65" i="2"/>
  <c r="J64" i="2"/>
  <c r="J63" i="2"/>
  <c r="G63" i="2"/>
  <c r="J62" i="2"/>
  <c r="G62" i="2"/>
  <c r="J61" i="2"/>
  <c r="G61" i="2"/>
  <c r="J56" i="2"/>
  <c r="G56" i="2"/>
  <c r="J55" i="2"/>
  <c r="G55" i="2"/>
  <c r="J50" i="2"/>
  <c r="G50" i="2"/>
  <c r="J46" i="2"/>
  <c r="G46" i="2"/>
  <c r="J43" i="2"/>
  <c r="G43" i="2"/>
  <c r="J39" i="2"/>
  <c r="G39" i="2"/>
  <c r="J37" i="2"/>
  <c r="G37" i="2"/>
  <c r="J27" i="2"/>
  <c r="G27" i="2"/>
  <c r="J26" i="2"/>
  <c r="G26" i="2"/>
  <c r="J25" i="2"/>
  <c r="G25" i="2"/>
  <c r="J24" i="2"/>
  <c r="G24" i="2"/>
  <c r="J21" i="2"/>
  <c r="G21" i="2"/>
  <c r="J20" i="2"/>
  <c r="G20" i="2"/>
  <c r="J19" i="2"/>
  <c r="G19" i="2"/>
  <c r="J16" i="2"/>
  <c r="G16" i="2"/>
  <c r="J15" i="2"/>
  <c r="G15" i="2"/>
  <c r="J14" i="2"/>
  <c r="G14" i="2"/>
  <c r="J13" i="2"/>
  <c r="G13" i="2"/>
  <c r="G12" i="2"/>
  <c r="J11" i="2"/>
  <c r="G11" i="2"/>
  <c r="J10" i="2"/>
  <c r="G10" i="2"/>
  <c r="C54" i="1"/>
  <c r="C42" i="1"/>
  <c r="C34" i="1"/>
  <c r="C21" i="1"/>
  <c r="C46" i="1" s="1"/>
  <c r="I8" i="12" l="1"/>
  <c r="I16" i="12" s="1"/>
  <c r="I21" i="12" s="1"/>
  <c r="I8" i="14"/>
  <c r="I16" i="14" s="1"/>
  <c r="I8" i="15"/>
  <c r="I16" i="15" s="1"/>
  <c r="I20" i="15" s="1"/>
  <c r="I9" i="8"/>
  <c r="I17" i="8" s="1"/>
  <c r="I8" i="9"/>
  <c r="I16" i="9" s="1"/>
  <c r="I20" i="9" s="1"/>
  <c r="I8" i="10"/>
  <c r="I16" i="10" s="1"/>
  <c r="I8" i="11"/>
  <c r="I19" i="11" s="1"/>
  <c r="I24" i="11" s="1"/>
  <c r="I8" i="13"/>
  <c r="I16" i="13" s="1"/>
  <c r="I8" i="7"/>
  <c r="I16" i="7" s="1"/>
  <c r="I21" i="7" s="1"/>
  <c r="J570" i="3"/>
  <c r="J223" i="3"/>
  <c r="I15" i="11"/>
  <c r="I20" i="11" s="1"/>
  <c r="J156" i="3"/>
  <c r="J79" i="3"/>
  <c r="K62" i="2"/>
  <c r="K64" i="2"/>
  <c r="K66" i="2"/>
  <c r="K68" i="2"/>
  <c r="K70" i="2"/>
  <c r="K73" i="2"/>
  <c r="K15" i="2"/>
  <c r="K160" i="2"/>
  <c r="K55" i="2"/>
  <c r="J56" i="3"/>
  <c r="K161" i="2"/>
  <c r="K56" i="2"/>
  <c r="K28" i="2"/>
  <c r="K86" i="2"/>
  <c r="K88" i="2"/>
  <c r="K90" i="2"/>
  <c r="K92" i="2"/>
  <c r="K94" i="2"/>
  <c r="K96" i="2"/>
  <c r="K98" i="2"/>
  <c r="K100" i="2"/>
  <c r="K102" i="2"/>
  <c r="K104" i="2"/>
  <c r="K110" i="2"/>
  <c r="K156" i="2"/>
  <c r="K157" i="2"/>
  <c r="J215" i="3"/>
  <c r="K47" i="2" s="1"/>
  <c r="K14" i="2"/>
  <c r="K61" i="2"/>
  <c r="K63" i="2"/>
  <c r="K65" i="2"/>
  <c r="K67" i="2"/>
  <c r="K69" i="2"/>
  <c r="K74" i="2"/>
  <c r="K76" i="2"/>
  <c r="K78" i="2"/>
  <c r="K80" i="2"/>
  <c r="K82" i="2"/>
  <c r="K84" i="2"/>
  <c r="K106" i="2"/>
  <c r="K108" i="2"/>
  <c r="K149" i="2"/>
  <c r="K151" i="2"/>
  <c r="K153" i="2"/>
  <c r="K154" i="2"/>
  <c r="K155" i="2"/>
  <c r="K10" i="2"/>
  <c r="K13" i="2"/>
  <c r="K75" i="2"/>
  <c r="K77" i="2"/>
  <c r="K79" i="2"/>
  <c r="K81" i="2"/>
  <c r="K83" i="2"/>
  <c r="K85" i="2"/>
  <c r="K87" i="2"/>
  <c r="K89" i="2"/>
  <c r="K91" i="2"/>
  <c r="K93" i="2"/>
  <c r="K95" i="2"/>
  <c r="K97" i="2"/>
  <c r="K99" i="2"/>
  <c r="K101" i="2"/>
  <c r="K103" i="2"/>
  <c r="K105" i="2"/>
  <c r="K107" i="2"/>
  <c r="K109" i="2"/>
  <c r="K11" i="2"/>
  <c r="K33" i="2"/>
  <c r="K35" i="2" s="1"/>
  <c r="K29" i="2"/>
  <c r="K25" i="2"/>
  <c r="K24" i="2"/>
  <c r="J84" i="3"/>
  <c r="I64" i="3" s="1"/>
  <c r="J93" i="3"/>
  <c r="K27" i="2" s="1"/>
  <c r="K20" i="2"/>
  <c r="K37" i="2"/>
  <c r="H44" i="3"/>
  <c r="J41" i="3" s="1"/>
  <c r="K16" i="2" s="1"/>
  <c r="J201" i="3"/>
  <c r="K43" i="2" s="1"/>
  <c r="J210" i="3"/>
  <c r="K46" i="2" s="1"/>
  <c r="K50" i="2"/>
  <c r="K53" i="2" s="1"/>
  <c r="H24" i="3"/>
  <c r="J21" i="3" s="1"/>
  <c r="K12" i="2" s="1"/>
  <c r="J189" i="3"/>
  <c r="K26" i="2"/>
  <c r="J47" i="3"/>
  <c r="I65" i="3" s="1"/>
  <c r="I23" i="9"/>
  <c r="J144" i="2" s="1"/>
  <c r="K144" i="2" s="1"/>
  <c r="I17" i="9"/>
  <c r="I20" i="10"/>
  <c r="I21" i="10"/>
  <c r="I23" i="10"/>
  <c r="J143" i="2" s="1"/>
  <c r="K143" i="2" s="1"/>
  <c r="I17" i="10"/>
  <c r="I20" i="12"/>
  <c r="I23" i="13"/>
  <c r="J137" i="2" s="1"/>
  <c r="K137" i="2" s="1"/>
  <c r="I17" i="13"/>
  <c r="I20" i="14"/>
  <c r="I21" i="14"/>
  <c r="I23" i="14"/>
  <c r="J133" i="2" s="1"/>
  <c r="K133" i="2" s="1"/>
  <c r="I17" i="14"/>
  <c r="I21" i="15"/>
  <c r="I23" i="15"/>
  <c r="J132" i="2" s="1"/>
  <c r="K132" i="2" s="1"/>
  <c r="I17" i="15"/>
  <c r="I20" i="16"/>
  <c r="I19" i="16"/>
  <c r="I22" i="16"/>
  <c r="J126" i="2" s="1"/>
  <c r="K126" i="2" s="1"/>
  <c r="I16" i="16"/>
  <c r="I20" i="17"/>
  <c r="I19" i="17"/>
  <c r="I22" i="17"/>
  <c r="J125" i="2" s="1"/>
  <c r="K125" i="2" s="1"/>
  <c r="I16" i="17"/>
  <c r="I23" i="7"/>
  <c r="J116" i="2" s="1"/>
  <c r="K116" i="2" s="1"/>
  <c r="I17" i="7"/>
  <c r="I21" i="8"/>
  <c r="I22" i="8"/>
  <c r="I24" i="8"/>
  <c r="J145" i="2" s="1"/>
  <c r="K145" i="2" s="1"/>
  <c r="I18" i="8"/>
  <c r="I21" i="9"/>
  <c r="I22" i="9" s="1"/>
  <c r="I26" i="11"/>
  <c r="J142" i="2" s="1"/>
  <c r="K142" i="2" s="1"/>
  <c r="I17" i="12"/>
  <c r="I21" i="13"/>
  <c r="I20" i="13"/>
  <c r="C45" i="1"/>
  <c r="C47" i="1" s="1"/>
  <c r="C57" i="1" s="1"/>
  <c r="K19" i="2"/>
  <c r="I22" i="13" l="1"/>
  <c r="K59" i="2"/>
  <c r="K44" i="2"/>
  <c r="C22" i="24" s="1"/>
  <c r="K30" i="2"/>
  <c r="K112" i="2"/>
  <c r="C30" i="24" s="1"/>
  <c r="I23" i="12"/>
  <c r="J138" i="2" s="1"/>
  <c r="K138" i="2" s="1"/>
  <c r="I20" i="7"/>
  <c r="K48" i="2"/>
  <c r="I23" i="11"/>
  <c r="I22" i="15"/>
  <c r="I21" i="16"/>
  <c r="I21" i="17"/>
  <c r="C28" i="24"/>
  <c r="C18" i="24"/>
  <c r="K163" i="2"/>
  <c r="K158" i="2"/>
  <c r="C34" i="24" s="1"/>
  <c r="K17" i="2"/>
  <c r="C12" i="24" s="1"/>
  <c r="K39" i="2"/>
  <c r="K41" i="2" s="1"/>
  <c r="C24" i="24"/>
  <c r="I24" i="24" s="1"/>
  <c r="I66" i="3"/>
  <c r="J61" i="3" s="1"/>
  <c r="K21" i="2" s="1"/>
  <c r="K22" i="2" s="1"/>
  <c r="I23" i="8"/>
  <c r="I25" i="11"/>
  <c r="I22" i="14"/>
  <c r="I22" i="12"/>
  <c r="I22" i="10"/>
  <c r="I22" i="7"/>
  <c r="I22" i="24" l="1"/>
  <c r="J22" i="24" s="1"/>
  <c r="J23" i="24" s="1"/>
  <c r="H22" i="24"/>
  <c r="C14" i="24"/>
  <c r="D14" i="24" s="1"/>
  <c r="C36" i="24"/>
  <c r="H36" i="24" s="1"/>
  <c r="H34" i="24"/>
  <c r="I34" i="24"/>
  <c r="E30" i="24"/>
  <c r="F30" i="24"/>
  <c r="G30" i="24"/>
  <c r="F28" i="24"/>
  <c r="H28" i="24"/>
  <c r="G28" i="24"/>
  <c r="E18" i="24"/>
  <c r="F18" i="24"/>
  <c r="G18" i="24"/>
  <c r="C20" i="24"/>
  <c r="D12" i="24"/>
  <c r="C16" i="24"/>
  <c r="I6" i="22"/>
  <c r="I8" i="22" s="1"/>
  <c r="I28" i="22" s="1"/>
  <c r="E14" i="24" l="1"/>
  <c r="D40" i="24"/>
  <c r="F16" i="24"/>
  <c r="I36" i="24"/>
  <c r="I40" i="24" s="1"/>
  <c r="J30" i="24"/>
  <c r="J31" i="24" s="1"/>
  <c r="J34" i="24"/>
  <c r="J35" i="24" s="1"/>
  <c r="G20" i="24"/>
  <c r="H20" i="24"/>
  <c r="F20" i="24"/>
  <c r="J12" i="24"/>
  <c r="J13" i="24" s="1"/>
  <c r="E16" i="24"/>
  <c r="J24" i="24"/>
  <c r="J25" i="24" s="1"/>
  <c r="J18" i="24"/>
  <c r="J19" i="24" s="1"/>
  <c r="C26" i="24"/>
  <c r="J28" i="24"/>
  <c r="J29" i="24" s="1"/>
  <c r="I33" i="22"/>
  <c r="I34" i="22" s="1"/>
  <c r="I35" i="22" s="1"/>
  <c r="J146" i="2" s="1"/>
  <c r="K146" i="2" s="1"/>
  <c r="K147" i="2" s="1"/>
  <c r="K169" i="2" s="1"/>
  <c r="I32" i="22"/>
  <c r="J16" i="24" l="1"/>
  <c r="C32" i="24"/>
  <c r="F32" i="24" s="1"/>
  <c r="F40" i="24" s="1"/>
  <c r="J36" i="24"/>
  <c r="J37" i="24" s="1"/>
  <c r="J20" i="24"/>
  <c r="J21" i="24" s="1"/>
  <c r="G26" i="24"/>
  <c r="H26" i="24"/>
  <c r="J14" i="24"/>
  <c r="C40" i="24" l="1"/>
  <c r="F41" i="24" s="1"/>
  <c r="J17" i="24"/>
  <c r="H32" i="24"/>
  <c r="H40" i="24" s="1"/>
  <c r="G32" i="24"/>
  <c r="G40" i="24" s="1"/>
  <c r="E32" i="24"/>
  <c r="E40" i="24" s="1"/>
  <c r="J15" i="24"/>
  <c r="J26" i="24"/>
  <c r="J27" i="24" s="1"/>
  <c r="J32" i="24" l="1"/>
  <c r="J33" i="24" s="1"/>
  <c r="G41" i="24"/>
  <c r="H41" i="24"/>
  <c r="E41" i="24"/>
  <c r="D41" i="24"/>
  <c r="I41" i="24"/>
  <c r="J40" i="24" l="1"/>
  <c r="J41" i="24" s="1"/>
  <c r="C17" i="24" l="1"/>
  <c r="C19" i="24"/>
  <c r="C37" i="24"/>
  <c r="C31" i="24"/>
  <c r="C35" i="24"/>
  <c r="C29" i="24"/>
  <c r="C27" i="24"/>
  <c r="C13" i="24"/>
  <c r="C23" i="24"/>
  <c r="C41" i="24"/>
  <c r="C33" i="24"/>
  <c r="C39" i="24"/>
  <c r="C25" i="24"/>
  <c r="C21" i="24"/>
  <c r="C15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<sst xmlns="http://schemas.openxmlformats.org/spreadsheetml/2006/main" count="2286" uniqueCount="709">
  <si>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</si>
  <si>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</si>
  <si>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</si>
  <si>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</si>
  <si>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</si>
  <si>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</si>
  <si>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</si>
  <si>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</si>
  <si>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</si>
  <si>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</si>
  <si>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</si>
  <si>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</si>
  <si>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</si>
  <si>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</si>
  <si>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</si>
  <si>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</si>
  <si>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</si>
  <si>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</si>
  <si>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</si>
  <si>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</si>
  <si>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</si>
  <si>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</si>
  <si>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</si>
  <si>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</si>
  <si>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</si>
  <si>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</si>
  <si>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</si>
  <si>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</si>
  <si>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</si>
  <si>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</si>
  <si>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</si>
  <si>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</si>
  <si>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</si>
  <si>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</si>
  <si>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</si>
  <si>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</si>
  <si>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</si>
  <si>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</si>
  <si>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</si>
  <si>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</si>
  <si>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</si>
  <si>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</si>
  <si>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</si>
  <si>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</si>
  <si>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</si>
  <si>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</si>
  <si>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</si>
  <si>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</si>
  <si>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</si>
  <si>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</si>
  <si>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</si>
  <si>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</si>
  <si>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</si>
  <si>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</si>
  <si>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</si>
  <si>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</si>
  <si>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</si>
  <si>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</si>
  <si>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</si>
  <si>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</si>
  <si>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</si>
  <si>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</si>
  <si>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</si>
  <si>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</si>
  <si>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</si>
  <si>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</si>
  <si>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</si>
  <si>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</si>
  <si>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</si>
  <si>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</si>
  <si>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</si>
  <si>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</si>
  <si>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</si>
  <si>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</si>
  <si>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</si>
  <si>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</si>
  <si>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</si>
  <si>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</si>
  <si>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</si>
  <si>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</si>
  <si>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</si>
  <si>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r>
      <t>OBRA:</t>
    </r>
    <r>
      <rPr>
        <sz val="11"/>
        <rFont val="Arial Narrow"/>
        <family val="2"/>
        <charset val="1"/>
      </rPr>
      <t>CONSTRUÇÃO DO CENTRO DE VIVÊNCIA</t>
    </r>
  </si>
  <si>
    <r>
      <t>LOCAL:</t>
    </r>
    <r>
      <rPr>
        <sz val="11"/>
        <rFont val="Arial Narrow"/>
        <family val="2"/>
        <charset val="1"/>
      </rPr>
      <t>COMUNIDADE SANTA LUZIA DO RIO PRETO, SÃO MATEUS/ES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</si>
  <si>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</si>
  <si>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</si>
  <si>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</si>
  <si>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</si>
  <si>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</si>
  <si>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</si>
  <si>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</si>
  <si>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</si>
  <si>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</si>
  <si>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</si>
  <si>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</si>
  <si>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</si>
  <si>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</si>
  <si>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</si>
  <si>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</si>
  <si>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</si>
  <si>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</si>
  <si>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1.5</t>
  </si>
  <si>
    <t>Rede de água com padrão de entrada d'água diâm. 3/4", conf. espec. CESAN, incl. tubos e conexões para alimentação, distribuição, extravasor e limpeza, cons. o padrão a 25m, conf.</t>
  </si>
  <si>
    <t>1.6</t>
  </si>
  <si>
    <t>Rede de esgoto, contendo fossa e filtro, inclusive tubos e conexões de ligação entre caixas, considerando distância de 25m, conforme projeto (1 utilização)</t>
  </si>
  <si>
    <t>1.7</t>
  </si>
  <si>
    <t>LIMPEZA MANUAL DO TERRENO (C/ RASPAGEM SUPERFICIAL)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</si>
  <si>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</si>
  <si>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</si>
  <si>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</si>
  <si>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</si>
  <si>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</si>
  <si>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</si>
  <si>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</si>
  <si>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</si>
  <si>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</si>
  <si>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</si>
  <si>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</si>
  <si>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</si>
  <si>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</si>
  <si>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</si>
  <si>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</si>
  <si>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</si>
  <si>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</si>
  <si>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</si>
  <si>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</si>
  <si>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</si>
  <si>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</si>
  <si>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</si>
  <si>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</si>
  <si>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</si>
  <si>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</si>
  <si>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</si>
  <si>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</si>
  <si>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</si>
  <si>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</si>
  <si>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</si>
  <si>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</si>
  <si>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</si>
  <si>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</si>
  <si>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</si>
  <si>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</si>
  <si>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</si>
  <si>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</si>
  <si>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</si>
  <si>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</si>
  <si>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</si>
  <si>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</si>
  <si>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</si>
  <si>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</si>
  <si>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9.4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</si>
  <si>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</si>
  <si>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</si>
  <si>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</si>
  <si>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</si>
  <si>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</si>
  <si>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</si>
  <si>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</si>
  <si>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</si>
  <si>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</si>
  <si>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</si>
  <si>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</si>
  <si>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</si>
  <si>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</si>
  <si>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</si>
  <si>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</si>
  <si>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</si>
  <si>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</si>
  <si>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</si>
  <si>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</si>
  <si>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</si>
  <si>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</si>
  <si>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</si>
  <si>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</si>
  <si>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</si>
  <si>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</si>
  <si>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</si>
  <si>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</si>
  <si>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</si>
  <si>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</si>
  <si>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</si>
  <si>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</si>
  <si>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</si>
  <si>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</si>
  <si>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</si>
  <si>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</si>
  <si>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</si>
  <si>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</si>
  <si>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</si>
  <si>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</si>
  <si>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</si>
  <si>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</si>
  <si>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</si>
  <si>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</si>
  <si>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</si>
  <si>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</si>
  <si>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</si>
  <si>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</si>
  <si>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</si>
  <si>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</si>
  <si>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</si>
  <si>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</si>
  <si>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</si>
  <si>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11.0</t>
  </si>
  <si>
    <t>INSTALAÇÕES ELÉTRICAS</t>
  </si>
  <si>
    <t>11.1</t>
  </si>
  <si>
    <t>74130/001</t>
  </si>
  <si>
    <t>Disjuntor termomagnético padrão DIN monopolar, proteção contra curto-circuito e sobrecarga, Curva de disparo "C", Conformidade NBR NM60898/04, IEC 60898, Cap. Interrupção de até 5kA, fab. Schneider ou equivalente</t>
  </si>
  <si>
    <t>PÇ</t>
  </si>
  <si>
    <t>11.2</t>
  </si>
  <si>
    <t>74130/003</t>
  </si>
  <si>
    <t>Disjuntor termomagnético padrão din monopolar, de 6 a 32A, proteção contra curto-circuito e sobrecarga, curva de disparo "c", conformidade nbr nm60898/04, iec 60898, cap. interrupção de até 5kA, fab. schneider ou equivalente</t>
  </si>
  <si>
    <t>11.3</t>
  </si>
  <si>
    <t>COMPOSIÇÃO 14</t>
  </si>
  <si>
    <t>Dispositivo de Proteção Contra Surtos (DPS), tensão nominal max. 175V 40KA, ref. fab. Clamper.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</si>
  <si>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</si>
  <si>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</si>
  <si>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</si>
  <si>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</si>
  <si>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</si>
  <si>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</si>
  <si>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</si>
  <si>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</si>
  <si>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</si>
  <si>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CAIXA DE PASSAGEM PVC 3" OCTOGONAL</t>
  </si>
  <si>
    <t>11.11</t>
  </si>
  <si>
    <t>11.12</t>
  </si>
  <si>
    <t>COMPOSIÇÃO 04</t>
  </si>
  <si>
    <t>Placa cega 2"x4", fornecimento e instalação</t>
  </si>
  <si>
    <t>11.13</t>
  </si>
  <si>
    <t>COMPOSIÇÃO 05</t>
  </si>
  <si>
    <t>Placa 2"x4" p/1, p/3 Funções, fornecimento e instalação</t>
  </si>
  <si>
    <t>11.14</t>
  </si>
  <si>
    <t>11.15</t>
  </si>
  <si>
    <t>11.16</t>
  </si>
  <si>
    <t>11.17</t>
  </si>
  <si>
    <t>11.18</t>
  </si>
  <si>
    <t>Tomada de embutir hexagonal 2P+T 10A  fornecimento e instalação</t>
  </si>
  <si>
    <t>11.19</t>
  </si>
  <si>
    <t>COMPOSIÇÃO 06</t>
  </si>
  <si>
    <t>Tomada de sobrepor hexagonal 2p+t 10A</t>
  </si>
  <si>
    <t>11.20</t>
  </si>
  <si>
    <t>COMPOSIÇÃO 07</t>
  </si>
  <si>
    <t>Ventilador de Teto forneciento e instalação</t>
  </si>
  <si>
    <t>11.21</t>
  </si>
  <si>
    <t>73860/008</t>
  </si>
  <si>
    <t>Cabo de cobre isolado PVC 450/750v  2,5mm2 , resistente a chama, fornecimento e instalação, ref Pirelli, Pirastic, Ecoplus BWF Flexivel ou equivalente.</t>
  </si>
  <si>
    <t>11.22</t>
  </si>
  <si>
    <t>73860/0010</t>
  </si>
  <si>
    <t>Cabo de cobre isolado PVC 450/750v  6mm2 , resistente a chama, fornecimento e instalação, ref Pirelli, Pirastic, Ecoplus BWF Flexivel ou equivalente.</t>
  </si>
  <si>
    <t>11.23</t>
  </si>
  <si>
    <t>73953/006</t>
  </si>
  <si>
    <t>Luminária de sobrepor com reator de partida rapida e lâmpada fluor. 2x40W, completa, fornecimento e instalação, completa.</t>
  </si>
  <si>
    <t>11.24</t>
  </si>
  <si>
    <t>COMPOSIÇÃO 08</t>
  </si>
  <si>
    <t>Luminária de embutir p/ fluorec. Tubular 2x110W  com reator de partida e lâmpada, fornecimento e instalação, completa.</t>
  </si>
  <si>
    <t>11.25</t>
  </si>
  <si>
    <t>COMPOSIÇÃO 09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</si>
  <si>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</si>
  <si>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11.26</t>
  </si>
  <si>
    <t>74052/005</t>
  </si>
  <si>
    <t>11.27</t>
  </si>
  <si>
    <t>Cabo de cobre nu 35 mm², tempera dura, Classe 2, NBR 6524, para sistema de aterramento, ref. TEL-5735, Termotécnica  ou equivalente.</t>
  </si>
  <si>
    <t>11.28</t>
  </si>
  <si>
    <t>Cabo de cobre nu 50 mm2, tempera dura, Classe 2, NBR 6524, para sistema de aterramento, ref. TEL-5750, Termotécnica ou equivalente.</t>
  </si>
  <si>
    <t>11.29</t>
  </si>
  <si>
    <t>COMPOSIÇÃO 10</t>
  </si>
  <si>
    <t>Terminal aéreo em latão (captor), com conector e fixação horizontal 5/16"x250mm, ref. TEL-024, inclusive vedação dos furos com poliuretano ref. TEL 5907, Termotécnica ou equivalente.</t>
  </si>
  <si>
    <t>11.30</t>
  </si>
  <si>
    <t>COMPOSIÇÃO 11</t>
  </si>
  <si>
    <t>Haste acobreada 5/8" X 2,40m, alta camada de cobre. Fornecimento e instalação.</t>
  </si>
  <si>
    <t>11.31</t>
  </si>
  <si>
    <t>COMPOSIÇÃO 12</t>
  </si>
  <si>
    <t>Isolador Simples 100mm</t>
  </si>
  <si>
    <t>11.32</t>
  </si>
  <si>
    <t>COMPOSIÇÃO 13</t>
  </si>
  <si>
    <t>Caixa de inspeção em PVC, diâmetro 300 mm, ref. TEL-552, Termotécnica ou equivalente, inclusive escavação e reaterro.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</si>
  <si>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</si>
  <si>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</si>
  <si>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</si>
  <si>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</si>
  <si>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</si>
  <si>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</si>
  <si>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</si>
  <si>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</si>
  <si>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</si>
  <si>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</si>
  <si>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</si>
  <si>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</si>
  <si>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</si>
  <si>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</si>
  <si>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</si>
  <si>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</si>
  <si>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14.2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</si>
  <si>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</si>
  <si>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</si>
  <si>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</si>
  <si>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</si>
  <si>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</si>
  <si>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</si>
  <si>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</si>
  <si>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</si>
  <si>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</si>
  <si>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</si>
  <si>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</si>
  <si>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</si>
  <si>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</si>
  <si>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</si>
  <si>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</si>
  <si>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</si>
  <si>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</si>
  <si>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</si>
  <si>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</si>
  <si>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</si>
  <si>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</si>
  <si>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</si>
  <si>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</si>
  <si>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</si>
  <si>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</si>
  <si>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</si>
  <si>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</si>
  <si>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</si>
  <si>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volume=(largura*comprimento*altura)</t>
  </si>
  <si>
    <t>PALCO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</si>
  <si>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</si>
  <si>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</si>
  <si>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</si>
  <si>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</si>
  <si>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</si>
  <si>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</si>
  <si>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</si>
  <si>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</si>
  <si>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</si>
  <si>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SALA 01</t>
  </si>
  <si>
    <t>SALA 02</t>
  </si>
  <si>
    <t>BANHEIRO MASC.</t>
  </si>
  <si>
    <t>BANHEIRO FEM.</t>
  </si>
  <si>
    <t>73937/001</t>
  </si>
  <si>
    <t>Und.</t>
  </si>
  <si>
    <t>ESQUADRIAS DE METÁLICAS</t>
  </si>
  <si>
    <t>REVESTIMENTOS DE PAREDE</t>
  </si>
  <si>
    <t>Área=(Perímetro*altura)</t>
  </si>
  <si>
    <t>PISOS INTERNOS E EXTERNOS</t>
  </si>
  <si>
    <t>73907/006</t>
  </si>
  <si>
    <t>SALA 1</t>
  </si>
  <si>
    <t>SALA 2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</si>
  <si>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</si>
  <si>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</si>
  <si>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</si>
  <si>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</si>
  <si>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</si>
  <si>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</si>
  <si>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</si>
  <si>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TE PVC SERIE R P/ ESG PREDIAL 100 X 75MM</t>
  </si>
  <si>
    <t>INFORMAÇÃO DE PROJETO</t>
  </si>
  <si>
    <t>Ventilador de Teto forneciento e instalação</t>
  </si>
  <si>
    <t>CUBA ACO INOXIDAVEL NUM 2 (56,0X33,0X11,5) CM - FORNECIMENTO E INSTALAÇÃO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</si>
  <si>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</si>
  <si>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</si>
  <si>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</si>
  <si>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quant.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</si>
  <si>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</si>
  <si>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</si>
  <si>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</si>
  <si>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</si>
  <si>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</si>
  <si>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</si>
  <si>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</si>
  <si>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</si>
  <si>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</si>
  <si>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</si>
  <si>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</si>
  <si>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</si>
  <si>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</si>
  <si>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</si>
  <si>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</si>
  <si>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</si>
  <si>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</si>
  <si>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</si>
  <si>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</si>
  <si>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</si>
  <si>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</si>
  <si>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</si>
  <si>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</si>
  <si>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</si>
  <si>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</si>
  <si>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</si>
  <si>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</si>
  <si>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</si>
  <si>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</si>
  <si>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</si>
  <si>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</si>
  <si>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</si>
  <si>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</si>
  <si>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</si>
  <si>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</si>
  <si>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SERVENTE</t>
  </si>
  <si>
    <t>SINAPI
6111</t>
  </si>
  <si>
    <t>Caixa de inspeção em PVC, diâmetro 300 mm, ref. TEL-552</t>
  </si>
  <si>
    <t>IOPES 48340</t>
  </si>
  <si>
    <t>HASTE acobreada- 5/8"x2,4m</t>
  </si>
  <si>
    <t>SINAPI
3396</t>
  </si>
  <si>
    <t>IOPES 048035</t>
  </si>
  <si>
    <t>Selante à base de Poliuretano Sikaflex ou equivalente, ref. Tel. 5905</t>
  </si>
  <si>
    <t>IOPES 24184</t>
  </si>
  <si>
    <t>Bucha nylon n.°6 ref.: TEL-5306</t>
  </si>
  <si>
    <t>IOPES 26894</t>
  </si>
  <si>
    <t>Parafuso autoatarrachante dim 4.2x32mm ref.: TEL-5333</t>
  </si>
  <si>
    <t>IOPES 26877</t>
  </si>
  <si>
    <t>Terminal aéreo H = 25cm, dim 5/16" - ref. Tel 024</t>
  </si>
  <si>
    <t>IOPES 48782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</si>
  <si>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</si>
  <si>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IOPES 41724</t>
  </si>
  <si>
    <t>Luminária de Embutir</t>
  </si>
  <si>
    <t>SINAPI
12147</t>
  </si>
  <si>
    <t>Placa 2"x4" p/1, p/3 Funções, fornecimento e instalação</t>
  </si>
  <si>
    <t>Placa 2"x4"</t>
  </si>
  <si>
    <t>SINAPI
7549</t>
  </si>
  <si>
    <t>PREFEITURA MUNICIPAL DE SÃO MATEUS                                                            SECRETARIA MUNICIPAL DE OBRAS</t>
  </si>
  <si>
    <t>SINAPI 6111</t>
  </si>
  <si>
    <t>ENCANADOR</t>
  </si>
  <si>
    <t>SINAPI 2696</t>
  </si>
  <si>
    <t>vezes</t>
  </si>
  <si>
    <t>VOLUME DE CONCRETO SAPATAS</t>
  </si>
  <si>
    <t>74254/002</t>
  </si>
  <si>
    <t>IOPES</t>
  </si>
  <si>
    <t>Alvenaria de blocos de concreto 9x19x39cm, c/ resist. mínimo a compres. 2.5 MPa, assent. c/ arg. de cimento, cal hidratada CH1 e areia no traço 1:0.5:8 esp. das juntas 10mm e esp. das paredes, s/ rev. 9cm</t>
  </si>
  <si>
    <t>5.3</t>
  </si>
  <si>
    <t>5.4</t>
  </si>
  <si>
    <t>comp.</t>
  </si>
  <si>
    <t>alt.</t>
  </si>
  <si>
    <t>ÁREA TOTAL</t>
  </si>
  <si>
    <t>BANHEIROS</t>
  </si>
  <si>
    <t>comprimento</t>
  </si>
  <si>
    <t>altura</t>
  </si>
  <si>
    <t>área=(altura*comprimento)</t>
  </si>
  <si>
    <t>7.2</t>
  </si>
  <si>
    <t>74067/001</t>
  </si>
  <si>
    <t>JANELA DE CORRER EM ALUMINIO, COM QUATRO FOLHAS PARA VIDRO, DUAS FIXAS E DUAS MOVEIS, INCLUSO GUARNICAO E VIDRO LISO INCOLOR</t>
  </si>
  <si>
    <t>JANELAS</t>
  </si>
  <si>
    <t>PORTAS</t>
  </si>
  <si>
    <t>Dedução de vão (esquadrias)</t>
  </si>
  <si>
    <t>EXTERNO</t>
  </si>
  <si>
    <t>SALAS</t>
  </si>
  <si>
    <t>VALOR TOTAL DA OBRA:</t>
  </si>
  <si>
    <t>APLICAÇÃO DE FUNDO SELADOR ACRÍLICO EM PAREDES, UMA DEMÃO. AF_06/2014</t>
  </si>
  <si>
    <t>APLICAÇÃO MANUAL DE PINTURA COM TINTA LÁTEX ACRÍLICA EM PAREDES, DUAS DEMÃOS. AF_06/2014</t>
  </si>
  <si>
    <t>ESCADA</t>
  </si>
  <si>
    <t>KIT PNEUMÁTICO PARA ACIONAMENTO E VERIFICAÇÃO DA BOMBA CONTENDO: MANÔMETRO, PRESSOSTATO, CILINDRO PULMÃO, REGISTRO INCLUSIVE CONEXÕES</t>
  </si>
  <si>
    <t>TUBO DE AÇO GALVANIZADO, DIÂMETRO 32mm (1 1/4")</t>
  </si>
  <si>
    <t>BUCHA RED. FG 2 ½” X 1”</t>
  </si>
  <si>
    <t>BUCHA RED. FG 1/2” X 1/4”</t>
  </si>
  <si>
    <t>NIPLE FG 1”</t>
  </si>
  <si>
    <t>NIPLE FG ½””</t>
  </si>
  <si>
    <t>NIPLE RED. FG ½” X ¼”</t>
  </si>
  <si>
    <t>TE FG RED. 1” X ½”</t>
  </si>
  <si>
    <t>REGISTRO GAVETA BRUTO 1”</t>
  </si>
  <si>
    <t>PRESSOSTATO</t>
  </si>
  <si>
    <t>MANÔMETRO</t>
  </si>
  <si>
    <t xml:space="preserve">FITA DE VEDACAO </t>
  </si>
  <si>
    <t>unid</t>
  </si>
  <si>
    <t>AUTOMATICO DE BOIA INFERIOR 10A/250V</t>
  </si>
  <si>
    <t>cj</t>
  </si>
  <si>
    <t>AUTOMATICO DE BOIA SUPERIOR 10A/250V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</si>
  <si>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</si>
  <si>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</si>
  <si>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</si>
  <si>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</si>
  <si>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</si>
  <si>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</si>
  <si>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</si>
  <si>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</si>
  <si>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</si>
  <si>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</si>
  <si>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</si>
  <si>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</si>
  <si>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</si>
  <si>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</si>
  <si>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</si>
  <si>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</si>
  <si>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</si>
  <si>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</si>
  <si>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</si>
  <si>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</si>
  <si>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</si>
  <si>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</si>
  <si>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</si>
  <si>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</si>
  <si>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</si>
  <si>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</si>
  <si>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</si>
  <si>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</si>
  <si>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</si>
  <si>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</si>
  <si>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</si>
  <si>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</si>
  <si>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</si>
  <si>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</si>
  <si>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</si>
  <si>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</si>
  <si>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</si>
  <si>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t>RODAPÉ CERÂMICO DE 7CM DE ALTURA COM PLACAS TIPO GRÊS DE DIMENSÕES 35X35CM. AF_06/2014</t>
  </si>
  <si>
    <t>10.51</t>
  </si>
  <si>
    <t>CONFORME PROJETO HIDRÁULICO</t>
  </si>
  <si>
    <t>11.33</t>
  </si>
  <si>
    <t>Bomba centrifuga trifásica 2CV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</si>
  <si>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</si>
  <si>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</si>
  <si>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DATA BASE: SETEMBRO/2014
DADOS DO SINAPI:    %ENCARGOS SOCIAIS DESONERADOS: 90,43 MAIS ENCARGOS COMPLEMENTARES
DADOS DO IOPES:    %ENCARGOS SOCIAIS MAIS COMPLEMENTARES DESONERADOS:  135,87 
COMPOSIÇÃO ANALÍTICA DE CUSTO: %ENCARGOS SOCIAIS E COMPLEMENTARES DESONERADOS: 135,96
 %BDI: 24,40</t>
  </si>
  <si>
    <t>DATA BASE: SETEMBRO/2014
DADOS DO SINAPI:    %ENCARGOS SOCIAIS DESONERADOS: 90,43 MAIS ENCARGOS COMPLEMENTARES
DADOS DO IOPES:    %ENCARGOS SOCIAIS MAIS COMPLEMENTARES DESONERADOS:  135,87 
COMPOSIÇÃO ANALÍTICA DE CUSTO:  %ENCARGOS SOCIAIS E COMPLEMENTARES DESONERADOS: 135,96
 %BDI: 24,40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</si>
  <si>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</si>
  <si>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</si>
  <si>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</si>
  <si>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</si>
  <si>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</si>
  <si>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</si>
  <si>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</si>
  <si>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COBOGÓ DE CONCRETO (ELEMENTO VAZADO), 7X50X50CM, ASSENTADO COM ARGAMASSA TRAÇO 1:4 (CIMENTO E AREIA)</t>
  </si>
  <si>
    <t>ADAPTADOR PVC SOLDÁVEL CURTO C/ BOLSA E ROSCA P/ REGISTRO 25MM X 3/4" - FORNECIMENTO E INSTALAÇÃO</t>
  </si>
  <si>
    <t>REGISTRO DE GAVETA 3/4" COM VOLANTE CROMADO - FORNECIMENTO E INSTALAÇÃO</t>
  </si>
  <si>
    <t>CAIXA D'ÁGUA FIBRA DE VIDRO PARA 5000 LITROS, COM TAMPA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</si>
  <si>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</si>
  <si>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</si>
  <si>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</si>
  <si>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</si>
  <si>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CAP PVC SOLD P/ ÁGUA FRIA PREDIAL 50 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</si>
  <si>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</si>
  <si>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</si>
  <si>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ADAPTADOR PVC SOLDÁVEL CURTO C/ BOLSA E ROSCA P/ REGISTRO 50MM X 1 1/2"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</si>
  <si>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</si>
  <si>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</si>
  <si>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</si>
  <si>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</si>
  <si>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</si>
  <si>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TE SANITÁRIO PVC P/ ESG PREDIAL DN 50 X 50MM</t>
  </si>
  <si>
    <t>JUNÇÃO SIMPLES PVC SERIE R P/ESG PREDIAL DN 100 X 75MM</t>
  </si>
  <si>
    <t>REDUÇÃO EXCÊNTRICA PVC P/ ESG PREDIAL DN 75 X 50MM</t>
  </si>
  <si>
    <t>ELETRODUTO DE PVC FLEXIVEL CORRUGADO DN 25MM (1") FORNECIMENTO E INSTALAÇÃO</t>
  </si>
  <si>
    <t>ELETRODUTO DE PVC FLEXIVEL CORRUGADO DN 20MM (3/4") FORNECIMENTO E INSTALAÇÃO</t>
  </si>
  <si>
    <t>ELETRODUTO DE PVC RIGIDO ROSCAVEL DN 20MM (3/4") INCL CONEXÕES, FORNECIMENTO E INSTALAÇÃO</t>
  </si>
  <si>
    <t>ELETRODUTO DE PVC RIGIDO ROSCAVEL DN 25MM (1") INCL CONEXÕES, FORNECIMENTO E INSTALAÇÃO</t>
  </si>
  <si>
    <t>ELETRODUTO DE PVC RIGIDO ROSCAVEL DN 75MM (3"), INCL CONEXÕES, FORNECIMENTO E INSTALAÇÃO</t>
  </si>
  <si>
    <t>CAIXA DE PASSAGEM PVC 4X2" - FORNECIMENTO E INSTALAÇÃO</t>
  </si>
  <si>
    <t>ESPELHO PLÁSTICO 4X2" - FORNECIMENTO E INSTALAÇÃO</t>
  </si>
  <si>
    <t>INTERRUPTOR PARALELO DE EMBUTIR 10A/250V 1 TECLA, SEM PLACA - FORNECIMENTO E INSTALAÇÃO</t>
  </si>
  <si>
    <t>INTERRUPTOR SIMPLES DE EMBUTIR 10A/250V 1 TECLA, SEM PLACA - FORNECIMENTO E INSTALAÇÃO</t>
  </si>
  <si>
    <t>INTERRUPTOR SIMPLES DE EMBUTIR 10A/250V 3 TECLAS, COM PLACA - FORNECIMENTO E INSTALAÇÃO</t>
  </si>
  <si>
    <t>INTERRUPTOR PARALELO 2 TECLAS COM 1 TOMADA 2P UNIVERSAL S/ PLACA - FORNECIMENTO E INSTALAÇÃO</t>
  </si>
  <si>
    <t>QUADRO DE MEDICAO GERAL EM CHAPA METÁLICA, INCLUSIVE DISJUNTORES E ATERRAMENTO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</si>
  <si>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</si>
  <si>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</si>
  <si>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</si>
  <si>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</si>
  <si>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</si>
  <si>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</si>
  <si>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</si>
  <si>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</si>
  <si>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</si>
  <si>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</si>
  <si>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</si>
  <si>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</si>
  <si>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</si>
  <si>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</si>
  <si>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</si>
  <si>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</si>
  <si>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</si>
  <si>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</si>
  <si>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</si>
  <si>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JANELA DE CORRER EM ALUMÍNIO, COM QUATRO FOLHAS PARA VIDRO, DUAS FIXAS E DUAS MÓVEIS, INCLUSO GUARNIÇÃO E VIDRO LISO INCOLOR</t>
  </si>
  <si>
    <t>QUADRO DE MEDIÇÃO GERAL EM CHAPA METÁLICA, INCLUSIVE DISJUNTORES E ATERRAMENTO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</si>
  <si>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</si>
  <si>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</si>
  <si>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</si>
  <si>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</si>
  <si>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</si>
  <si>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</si>
  <si>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</si>
  <si>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</si>
  <si>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</si>
  <si>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</si>
  <si>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Altura (m)</t>
  </si>
  <si>
    <t>S1 a S10</t>
  </si>
  <si>
    <t>VB1/VB2/VB4</t>
  </si>
  <si>
    <t>VB3</t>
  </si>
  <si>
    <t>VB5/VB6/VB7/VB8/VB12/VB13/VB14/VB15/VB16</t>
  </si>
  <si>
    <t>VB9/VB10/VB11</t>
  </si>
  <si>
    <t>Área (cad)</t>
  </si>
  <si>
    <t>VB1 a VB16</t>
  </si>
  <si>
    <t>Comp. Total</t>
  </si>
  <si>
    <t>Kg/m</t>
  </si>
  <si>
    <t>Ø</t>
  </si>
  <si>
    <t>Viga Parede 1</t>
  </si>
  <si>
    <t>Viga Parede 2,3e4</t>
  </si>
  <si>
    <t>Viga Parede 5,6e7</t>
  </si>
  <si>
    <t>Viga Parede 8</t>
  </si>
  <si>
    <t>Viga Parede 9,10e11</t>
  </si>
  <si>
    <t>6.3</t>
  </si>
  <si>
    <t>Pilar em L</t>
  </si>
  <si>
    <t>Comp/alt.</t>
  </si>
  <si>
    <t>Área</t>
  </si>
  <si>
    <t>Pilar em T</t>
  </si>
  <si>
    <t>Pilar em I</t>
  </si>
  <si>
    <t>Compr./Alt.</t>
  </si>
  <si>
    <t>Comp. (m)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</si>
  <si>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</si>
  <si>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</si>
  <si>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</si>
  <si>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</si>
  <si>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</si>
  <si>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Comunidade Santa Luzia</t>
  </si>
  <si>
    <t>Largura (m)</t>
  </si>
  <si>
    <t>comprimento (m)</t>
  </si>
  <si>
    <t>Área=((largura+1,80m)*(comprimento+1,00m))</t>
  </si>
  <si>
    <t>Galpão pre-moldado de concreto armado conforme projeto, 24,00 m de comprimento por 11,00 m de largura, pe-direito 6,00m ,pilares a cada 6m , com area cobertura de 320,00 m² , 02 aguas com beirais frontais de 0,50 m e laterais de 0,90 m, em telhas de fibrocimento esp. 6mm ou zincalume 6.70 x 0,98 x 0,43mm, inclusive fornecimento , montagem , transporte e instalação.</t>
  </si>
  <si>
    <t>Area= (comprimento x altura)-Descontos de Janelas e portas</t>
  </si>
  <si>
    <t>ORÇAMENTO
LOCAL</t>
  </si>
  <si>
    <t>Parede 1</t>
  </si>
  <si>
    <t>Parede 2e4</t>
  </si>
  <si>
    <t>Parede 5e7</t>
  </si>
  <si>
    <t>Parede 6</t>
  </si>
  <si>
    <t>Parede 8</t>
  </si>
  <si>
    <t>Banco em Concreto</t>
  </si>
  <si>
    <t>Parede 3</t>
  </si>
  <si>
    <t>Descontos Janelas</t>
  </si>
  <si>
    <t>Descontos Portas</t>
  </si>
  <si>
    <t>Descontos cobogo</t>
  </si>
  <si>
    <t>ALVENARIA DE BLOCOS DE CONCRETO TIPO CANALETA 14X19X19CM, ASSENTADOS COM ARGAMASSA TRACO 1:0,5:11 (CIMENTO, CAL E AREIA)</t>
  </si>
  <si>
    <t>Parede 10</t>
  </si>
  <si>
    <t>Parede 9e11</t>
  </si>
  <si>
    <t>RODAPÉS, SOLEIRAS E PEITORIS</t>
  </si>
  <si>
    <t>SALÃO COMUNAL</t>
  </si>
  <si>
    <t>EXTERNO PALCO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</si>
  <si>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</si>
  <si>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</si>
  <si>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</si>
  <si>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</si>
  <si>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</si>
  <si>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 xml:space="preserve"> 73922/005</t>
  </si>
  <si>
    <t>Piso cimentado camurçado em argamassa de cimento e areia no traço 1:3 , espessura 3 cm</t>
  </si>
  <si>
    <t>BANCO DE ALVENARIA</t>
  </si>
  <si>
    <t>JANELAS COBOGO</t>
  </si>
  <si>
    <t>VÃO PALCO</t>
  </si>
  <si>
    <t>Parede estrutural preenchida 06</t>
  </si>
  <si>
    <t>Parede estrutural preenchida 03</t>
  </si>
  <si>
    <t>EXECUÇÃO DE PASSEIO (CALÇADA) EM CONCRETO 12 MPA, TRAÇO 1:3:5 (CIMENTO/AREIA/BRITA), PREPARO MECÂNICO, ESPESSURA 7CM, COM JUNTA DE DILATAÇÃO
EM MADEIRA, INCLUSO LANÇAMENTO E ADENSAMENTO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</si>
  <si>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</si>
  <si>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</si>
  <si>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</si>
  <si>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</si>
  <si>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</si>
  <si>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Área= Comprimento*Largura*Quant.</t>
  </si>
  <si>
    <t>PECA DE MADEIRA DE LEI *7,5 X 15* CM ( 3" X 6" ), NÃO APARELHADA, (P/TELHADO, ESTRUTURAS PERMANENTES)</t>
  </si>
  <si>
    <t>13.1</t>
  </si>
  <si>
    <t>13.2</t>
  </si>
  <si>
    <t>13.3</t>
  </si>
  <si>
    <t>CONCRETO USINADO BOMBEADO FCK=15MPA, INCLUSIVE LANCAMENTO E ADENSAMENTO, SAPATAS E PILARES</t>
  </si>
  <si>
    <t>74138/001</t>
  </si>
  <si>
    <t>CONCRETO USINADO BOMBEADO FCK=15MPA, INCLUSIVE LANCAMENTO E ADENSAMENTO</t>
  </si>
  <si>
    <t>CONCRETO USINADO BOMBEADO FCK=15MPA, INCLUSIVE LANCAMENTO E ADENSAMENTO (VIGAS DE AMARRAÇÃO E PILARES)</t>
  </si>
  <si>
    <t>14.3</t>
  </si>
  <si>
    <t>Forro PVC branco L = 20 cm, frisado, colocado</t>
  </si>
  <si>
    <t>ÁREA (cad)</t>
  </si>
  <si>
    <t>Area</t>
  </si>
  <si>
    <t>orçamento</t>
  </si>
  <si>
    <t>TUBO, PVC, SOLDÁVEL, DN 25MM, INSTALADO EM RAMAL OU SUB-RAMAL DE ÁGUA M FORNECIMENTO E INSTALAÇÃO . AF_12/2014_P</t>
  </si>
  <si>
    <t>SINAPI 12244</t>
  </si>
  <si>
    <t>TUBO, PVC, SOLDÁVEL, DN 32MM, INSTALADO EM RAMAL OU SUB-RAMAL DE ÁGUA M 
FORNECIMENTO E INSTALAÇÃO . AF_12/2014_P</t>
  </si>
  <si>
    <t>JOELHO 90 GRAUS, PVC, SOLDÁVEL, DN 25MM, INSTALADO EM PRUMADA DE ÁGUA UN 
FORNECIMENTO E INSTALAÇÃO. AF_12/2014_P</t>
  </si>
  <si>
    <t>JOELHO 90 GRAUS COM BUCHA DE LATÃO, PVC, SOLDÁVEL, DN 25MM, X 3/4 INS 
TALADO EM RAMAL OU SUB-RAMAL DE ÁGUA FORNECIMENTO E INSTALAÇÃO . AF_
12/2014_P</t>
  </si>
  <si>
    <t>PORTA DE MADEIRA PARA PINTURA, SEMI-OCA (LEVE OU MÉDIA), 80X210CM, ESP
ESSURA DE 3,5CM, INCLUSO DOBRADIÇAS FORNECIMENTO E INSTALAÇÃO. AF_08
/2015</t>
  </si>
  <si>
    <t>JOELHO 90 GRAUS, PVC, SERIE NORMAL, ESGOTO PREDIAL, DN 40 MM, JUNTA SOLDÁVEL,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</si>
  <si>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</si>
  <si>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JOELHO 90 GRAUS, PVC, SERIE NORMAL, ESGOTO PREDIAL, DN 75 MM, JUNTA ELÁSTICA, FORNECIDO E INSTALADO EM RAMAL DE DESCARGA OU RAMAL DE ESGOTO SANITÁRIO. AF_12/2014</t>
  </si>
  <si>
    <t>JUNÇÃO SIMPLES, PVC, SERIE NORMAL, ESGOTO PREDIAL, DN 100 X 100 MM, JUNTA ELÁSTICA, FORNECIDO E INSTALADO EM RAMAL DE DESCARGA OU RAMAL DE E
SGOTO SANITÁRIO. AF_12/2014</t>
  </si>
  <si>
    <t>JOELHO 45 GRAUS, PVC, SERIE NORMAL, ESGOTO PREDIAL, DN 100 MM, JUNTA ELÁSTICA, FORNECIDO E INSTALADO EM PRUMADA DE ESGOTO SANITÁRIO OU VENTILAÇÃO. AF_12/2014</t>
  </si>
  <si>
    <t>TUBO PVC, SERIE NORMAL, ESGOTO PREDIAL, DN 100 MM, FORNECIDO E INSTALADO EM RAMAL DE DESCARGA OU RAMAL DE ESGOTO SANITÁRIO. AF_12/2014_P</t>
  </si>
  <si>
    <t>TUBO PVC, SERIE NORMAL, ESGOTO PREDIAL, DN 75 MM, FORNECIDO E INSTALADO EM RAMAL DE DESCARGA OU RAMAL DE ESGOTO SANITÁRIO. AF_12/2014_P</t>
  </si>
  <si>
    <t>TUBO PVC, SERIE NORMAL, ESGOTO PREDIAL, DN 50 MM, FORNECIDO E INSTALADO EM RAMAL DE DESCARGA OU RAMAL DE ESGOTO SANITÁRIO. AF_12/2014_P</t>
  </si>
  <si>
    <t>TUBO PVC, SERIE NORMAL, ESGOTO PREDIAL, DN 40 MM, FORNECIDO E INSTALADO EM RAMAL DE DESCARGA OU RAMAL DE ESGOTO SANITÁRIO. AF_12/2014_P</t>
  </si>
  <si>
    <t>CAIXA SIFONADA, PVC, DN 100 X 100 X 50 MM, JUNTA ELÁSTICA, FORNECIDA E INSTALADA EM RAMAL DE DESCARGA OU EM RAMAL DE ESGOTO SANITÁRIO. AF_12
/2014_P</t>
  </si>
  <si>
    <t>CAIXA SIFONADA, PVC, DN 150 X 185 X 75 MM, JUNTA ELÁSTICA, FORNECIDA E INSTALADA EM RAMAL DE DESCARGA OU EM RAMAL DE ESGOTO SANITÁRIO. AF_12
/2014_P</t>
  </si>
  <si>
    <t>LUVA DE REDUÇÃO, PVC, SOLDÁVEL, DN 32MM X 25MM, INSTALADO EM RAMAL OU SUB-RAMAL DE ÁGUA FORNECIMENTO E INSTALAÇÃO . AF_12/2014_P</t>
  </si>
  <si>
    <t>REDUÇÃO DE PVC SOLDÁVEL ÁGUA FRIA 40X32MM - FORNECIMENTO E INSTALAÇÃO</t>
  </si>
  <si>
    <t>TÊ DE REDUÇÃO, PVC, SOLDÁVEL, DN 40MM X 32MM, INSTALADO EM PRUMADA DE ÁGUA FORNECIMENTO E INSTALAÇÃO. AF_12/2014_P</t>
  </si>
  <si>
    <t>VENT TETO INTERR SIMPLES EXCL ALOJ LUMINARIA</t>
  </si>
  <si>
    <t>IOPES
49165</t>
  </si>
  <si>
    <t>REV. 02</t>
  </si>
  <si>
    <t>COBOGO DE CONCRETO (ELEMENTO VAZADO), 7X50X50CM, ASSENTADO COM ARGAMASSA TRACO 1:4 (CIMENTO E AREIA)</t>
  </si>
  <si>
    <t>TUBO, PVC, SOLDÁVEL, DN 32MM, INSTALADO EM RAMAL OU SUB-RAMAL DE ÁGUA, FORNECIMENTO E INSTALAÇÃO . AF_12/2014_P</t>
  </si>
  <si>
    <t>PORTA DE MADEIRA PARA PINTURA, SEMI-OCA (LEVE OU MÉDIA), 80X210CM, ESPESSURA DE 3,5CM, INCLUSO DOBRADIÇAS FORNECIMENTO E INSTALAÇÃO. AF_08
/2015</t>
  </si>
  <si>
    <t>TUBO, PVC, SOLDÁVEL, DN 40MM, INSTALADO EM PRUMADA DE ÁGUA FORNECIME 
NTO E INSTALAÇÃO. AF_12/2014_P</t>
  </si>
  <si>
    <t>TUBO, PVC, SOLDÁVEL, DN 40MM, INSTALADO EM PRUMADA DE ÁGUA FORNECIMENTO E INSTALAÇÃO. AF_12/2014_P</t>
  </si>
  <si>
    <t>JOELHO 90 GRAUS, PVC, SOLDÁVEL, DN 40MM, INSTALADO EM PRUMADA DE ÁGUA 
FORNECIMENTO E INSTALAÇÃO. AF_12/2014_P</t>
  </si>
  <si>
    <t>JOELHO 90 GRAUS, PVC, SOLDÁVEL, DN 40MM, INSTALADO EM PRUMADA DE ÁGUA FORNECIMENTO E INSTALAÇÃO. AF_12/2014_P</t>
  </si>
  <si>
    <t>JOELHO 90 GRAUS, PVC, SOLDÁVEL, DN 25MM, INSTALADO EM PRUMADA DE ÁGUA FORNECIMENTO E INSTALAÇÃO. AF_12/2014_P</t>
  </si>
  <si>
    <t>JOELHO 90 GRAUS COM BUCHA DE LATÃO, PVC, SOLDÁVEL, DN 25MM, X 3/4 INSTALADO EM RAMAL OU SUB-RAMAL DE ÁGUA FORNECIMENTO E INSTALAÇÃO . AF_12/2014_P</t>
  </si>
  <si>
    <t>TE, PVC, SOLDÁVEL, DN 25MM, INSTALADO EM RAMAL OU SUB-RAMAL DE ÁGUA FORNECIMENTO E INSTALAÇÃO. AF_12/2014_P</t>
  </si>
  <si>
    <t>JOELHO 90 GRAUS, PVC, SOLDÁVEL, DN 32MM, INSTALADO EM RAMAL DE DISTRIBUIÇÃO DE ÁGUA FORNECIMENTO E INSTALAÇÃO. AF_12/2014_P</t>
  </si>
  <si>
    <t>JOELHO 90 GRAUS, PVC, SOLDÁVEL, DN 25MM, INSTALADO EM RAMAL DE DISTRIBUIÇÃO DE ÁGUA FORNECIMENTO E INSTALAÇÃO. AF_12/2014_P</t>
  </si>
  <si>
    <t>TÊ DE REDUÇÃO, PVC, SOLDÁVEL, DN 50MM X 25MM, INSTALADO EM PRUMADA DE ÁGUA FORNECIMENTO E INSTALAÇÃO. AF_12/2014_P</t>
  </si>
  <si>
    <t>TÊ DE REDUÇÃO, PVC, SOLDÁVEL, DN 50MM X 40MM, INSTALADO EM PRUMADA DE ÁGUA FORNECIMENTO E INSTALAÇÃO. AF_12/2014_P</t>
  </si>
  <si>
    <t>TUBO, PVC, SOLDÁVEL, DN 50MM, INSTALADO EM PRUMADA DE ÁGUA FORNECIMEMNTO E INSTALAÇÃO. AF_12/2014_P</t>
  </si>
  <si>
    <t>CAIXA SIFONADA, PVC, DN 100 X 100 X 50 MM, JUNTA ELÁSTICA, FORNECIDA E INSTALADA EM RAMAL DE DESCARGA OU EM RAMAL DE ESGOTO SANITÁRIO. AF_12/2014_P</t>
  </si>
  <si>
    <t>CAIXA SIFONADA, PVC, DN 150 X 185 X 75 MM, JUNTA ELÁSTICA, FORNECIDA E INSTALADA EM RAMAL DE DESCARGA OU EM RAMAL DE ESGOTO SANITÁRIO. AF_12/2014_P</t>
  </si>
  <si>
    <t>JOELHO 45 GRAUS, PVC, SERIE NORMAL, ESGOTO PREDIAL, DN 40 MM, JUNTA SOLDÁVEL, FORNECIDO E INSTALADO EM RAMAL DE DESCARGA OU RAMAL DE ESGOTO SANITÁRIO. AF_12/2014_P</t>
  </si>
  <si>
    <t>JUNÇÃO SIMPLES, PVC, SERIE NORMAL, ESGOTO PREDIAL, DN 100 X 100 MM, JUNTA ELÁSTICA, FORNECIDO E INSTALADO EM RAMAL DE DESCARGA OU RAMAL DE ESGOTO SANITÁRIO. AF_12/2014</t>
  </si>
  <si>
    <t>COMPOSIÇÃO 01</t>
  </si>
  <si>
    <t>COMPOSIÇÃO 02</t>
  </si>
  <si>
    <t>ANEXO IX - PLANILHA ORÇAMENTÁRIA</t>
  </si>
  <si>
    <t>ANEXO XIII - 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</si>
</sst>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_);_(* \(#,##0.00\);_(* \-??_);_(@_)"/>
    <numFmt numFmtId="166" formatCode="_-* #,##0.00_-;\-* #,##0.00_-;_-* \-??_-;_-@_-"/>
    <numFmt numFmtId="167" formatCode="&quot;R$ &quot;#,##0.00"/>
    <numFmt numFmtId="168" formatCode="0.0"/>
    <numFmt numFmtId="169" formatCode="0.000"/>
    <numFmt numFmtId="170" formatCode="0.0000"/>
    <numFmt numFmtId="171" formatCode="0.000000"/>
  </numFmts>
  <fonts count="6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9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b/>
      <sz val="8"/>
      <color rgb="FF000000"/>
      <name val="Verdana"/>
      <family val="2"/>
      <charset val="1"/>
    </font>
    <font>
      <b/>
      <sz val="8"/>
      <name val="Verdana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166" fontId="30" fillId="0" borderId="0" applyBorder="0" applyProtection="0"/>
    <xf numFmtId="9" fontId="30" fillId="0" borderId="0" applyBorder="0" applyProtection="0"/>
    <xf numFmtId="0" fontId="30" fillId="0" borderId="0"/>
    <xf numFmtId="0" fontId="35" fillId="0" borderId="0"/>
    <xf numFmtId="0" fontId="36" fillId="0" borderId="0"/>
    <xf numFmtId="0" fontId="36" fillId="0" borderId="0"/>
    <xf numFmtId="0" fontId="51" fillId="0" borderId="0"/>
    <xf numFmtId="0" fontId="1" fillId="0" borderId="0"/>
    <xf numFmtId="0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596">
    <xf numFmtId="0" fontId="0" fillId="0" borderId="0" xfId="0"/>
    <xf numFmtId="0" fontId="2" fillId="0" borderId="0" xfId="3" applyNumberFormat="1" applyFont="1" applyBorder="1"/>
    <xf numFmtId="0" fontId="6" fillId="0" borderId="8" xfId="3" applyNumberFormat="1" applyFont="1" applyBorder="1" applyAlignment="1">
      <alignment horizontal="center" vertical="center" wrapText="1"/>
    </xf>
    <xf numFmtId="49" fontId="3" fillId="0" borderId="9" xfId="3" applyNumberFormat="1" applyFont="1" applyBorder="1" applyAlignment="1">
      <alignment vertical="center"/>
    </xf>
    <xf numFmtId="0" fontId="7" fillId="0" borderId="10" xfId="3" applyNumberFormat="1" applyFont="1" applyBorder="1" applyAlignment="1">
      <alignment horizontal="justify" vertical="center" wrapText="1"/>
    </xf>
    <xf numFmtId="10" fontId="7" fillId="0" borderId="11" xfId="3" applyNumberFormat="1" applyFont="1" applyBorder="1" applyAlignment="1" applyProtection="1">
      <alignment horizontal="center" vertical="center" wrapText="1"/>
    </xf>
    <xf numFmtId="49" fontId="3" fillId="0" borderId="12" xfId="3" applyNumberFormat="1" applyFont="1" applyBorder="1" applyAlignment="1">
      <alignment vertical="center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0" fontId="6" fillId="0" borderId="13" xfId="3" applyNumberFormat="1" applyFont="1" applyBorder="1" applyAlignment="1">
      <alignment horizontal="justify" vertical="center" wrapText="1"/>
    </xf>
    <xf numFmtId="10" fontId="6" fillId="0" borderId="14" xfId="3" applyNumberFormat="1" applyFont="1" applyBorder="1" applyAlignment="1" applyProtection="1">
      <alignment horizontal="center" vertical="center" wrapText="1"/>
    </xf>
    <xf numFmtId="49" fontId="3" fillId="0" borderId="15" xfId="3" applyNumberFormat="1" applyFont="1" applyBorder="1" applyAlignment="1">
      <alignment vertical="center"/>
    </xf>
    <xf numFmtId="0" fontId="6" fillId="0" borderId="16" xfId="3" applyNumberFormat="1" applyFont="1" applyBorder="1" applyAlignment="1">
      <alignment horizontal="justify" vertical="center" wrapText="1"/>
    </xf>
    <xf numFmtId="10" fontId="6" fillId="0" borderId="17" xfId="3" applyNumberFormat="1" applyFont="1" applyBorder="1" applyAlignment="1" applyProtection="1">
      <alignment horizontal="center" vertical="center" wrapText="1"/>
    </xf>
    <xf numFmtId="10" fontId="7" fillId="0" borderId="8" xfId="3" applyNumberFormat="1" applyFont="1" applyBorder="1" applyAlignment="1" applyProtection="1">
      <alignment horizontal="center" vertical="center" wrapText="1"/>
    </xf>
    <xf numFmtId="10" fontId="7" fillId="0" borderId="18" xfId="3" applyNumberFormat="1" applyFont="1" applyBorder="1" applyAlignment="1" applyProtection="1">
      <alignment horizontal="center" vertical="center" wrapText="1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49" fontId="3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49" fontId="3" fillId="0" borderId="21" xfId="3" applyNumberFormat="1" applyFont="1" applyBorder="1" applyAlignment="1">
      <alignment vertical="center"/>
    </xf>
    <xf numFmtId="0" fontId="6" fillId="0" borderId="22" xfId="3" applyNumberFormat="1" applyFont="1" applyBorder="1" applyAlignment="1">
      <alignment horizontal="justify" vertical="center" wrapText="1"/>
    </xf>
    <xf numFmtId="10" fontId="6" fillId="0" borderId="23" xfId="3" applyNumberFormat="1" applyFont="1" applyBorder="1" applyAlignment="1" applyProtection="1">
      <alignment horizontal="center" vertical="center" wrapText="1"/>
    </xf>
    <xf numFmtId="49" fontId="3" fillId="2" borderId="5" xfId="3" applyNumberFormat="1" applyFont="1" applyFill="1" applyBorder="1" applyAlignment="1">
      <alignment horizontal="center" vertical="center"/>
    </xf>
    <xf numFmtId="0" fontId="5" fillId="2" borderId="0" xfId="3" applyNumberFormat="1" applyFont="1" applyFill="1" applyBorder="1" applyAlignment="1">
      <alignment horizontal="justify" vertical="center"/>
    </xf>
    <xf numFmtId="0" fontId="2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6" fontId="14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2" fillId="0" borderId="0" xfId="3" applyNumberFormat="1" applyFont="1" applyBorder="1" applyAlignment="1">
      <alignment vertical="center"/>
    </xf>
    <xf numFmtId="0" fontId="2" fillId="0" borderId="0" xfId="3" applyNumberFormat="1" applyFont="1" applyBorder="1" applyAlignment="1">
      <alignment horizontal="right" vertical="center"/>
    </xf>
    <xf numFmtId="2" fontId="2" fillId="0" borderId="0" xfId="3" applyNumberFormat="1" applyFont="1" applyBorder="1" applyAlignment="1">
      <alignment vertical="center"/>
    </xf>
    <xf numFmtId="0" fontId="20" fillId="0" borderId="35" xfId="3" applyNumberFormat="1" applyFont="1" applyBorder="1" applyAlignment="1">
      <alignment vertical="center"/>
    </xf>
    <xf numFmtId="0" fontId="19" fillId="0" borderId="39" xfId="3" applyNumberFormat="1" applyFont="1" applyBorder="1" applyAlignment="1">
      <alignment horizontal="center" vertical="center"/>
    </xf>
    <xf numFmtId="49" fontId="21" fillId="0" borderId="40" xfId="3" applyNumberFormat="1" applyFont="1" applyBorder="1" applyAlignment="1" applyProtection="1">
      <alignment horizontal="center" vertical="center"/>
      <protection locked="0"/>
    </xf>
    <xf numFmtId="0" fontId="20" fillId="0" borderId="31" xfId="3" applyNumberFormat="1" applyFont="1" applyBorder="1" applyAlignment="1">
      <alignment vertical="center"/>
    </xf>
    <xf numFmtId="2" fontId="20" fillId="0" borderId="59" xfId="3" applyNumberFormat="1" applyFont="1" applyBorder="1" applyAlignment="1">
      <alignment vertical="center"/>
    </xf>
    <xf numFmtId="2" fontId="20" fillId="0" borderId="60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5" fillId="6" borderId="61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right" vertical="center"/>
    </xf>
    <xf numFmtId="2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center" vertical="center"/>
    </xf>
    <xf numFmtId="2" fontId="15" fillId="6" borderId="62" xfId="3" applyNumberFormat="1" applyFont="1" applyFill="1" applyBorder="1" applyAlignment="1">
      <alignment vertical="center"/>
    </xf>
    <xf numFmtId="2" fontId="15" fillId="6" borderId="63" xfId="3" applyNumberFormat="1" applyFont="1" applyFill="1" applyBorder="1" applyAlignment="1">
      <alignment vertical="center"/>
    </xf>
    <xf numFmtId="0" fontId="20" fillId="0" borderId="29" xfId="3" applyNumberFormat="1" applyFont="1" applyBorder="1" applyAlignment="1">
      <alignment horizontal="justify" vertical="center" wrapText="1"/>
    </xf>
    <xf numFmtId="0" fontId="20" fillId="0" borderId="1" xfId="3" applyNumberFormat="1" applyFont="1" applyBorder="1" applyAlignment="1">
      <alignment horizontal="center" vertical="center"/>
    </xf>
    <xf numFmtId="0" fontId="20" fillId="0" borderId="2" xfId="3" applyNumberFormat="1" applyFont="1" applyBorder="1" applyAlignment="1">
      <alignment horizontal="right" vertical="center"/>
    </xf>
    <xf numFmtId="0" fontId="20" fillId="0" borderId="2" xfId="3" applyNumberFormat="1" applyFont="1" applyBorder="1" applyAlignment="1">
      <alignment horizontal="center" vertical="center"/>
    </xf>
    <xf numFmtId="2" fontId="20" fillId="0" borderId="2" xfId="3" applyNumberFormat="1" applyFont="1" applyBorder="1" applyAlignment="1">
      <alignment horizontal="center" vertical="center"/>
    </xf>
    <xf numFmtId="2" fontId="20" fillId="0" borderId="64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center" vertical="center" wrapText="1"/>
    </xf>
    <xf numFmtId="0" fontId="24" fillId="0" borderId="27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right" vertical="center" wrapText="1"/>
    </xf>
    <xf numFmtId="2" fontId="23" fillId="0" borderId="27" xfId="3" applyNumberFormat="1" applyFont="1" applyBorder="1" applyAlignment="1">
      <alignment horizontal="right" vertical="center" wrapText="1"/>
    </xf>
    <xf numFmtId="0" fontId="19" fillId="0" borderId="57" xfId="3" applyNumberFormat="1" applyFont="1" applyBorder="1" applyAlignment="1">
      <alignment horizontal="justify" vertical="center" wrapText="1"/>
    </xf>
    <xf numFmtId="0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right" vertical="center"/>
    </xf>
    <xf numFmtId="2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center" vertical="center"/>
    </xf>
    <xf numFmtId="2" fontId="19" fillId="0" borderId="63" xfId="3" applyNumberFormat="1" applyFont="1" applyBorder="1" applyAlignment="1">
      <alignment vertical="center"/>
    </xf>
    <xf numFmtId="0" fontId="20" fillId="0" borderId="31" xfId="3" applyNumberFormat="1" applyFont="1" applyBorder="1" applyAlignment="1">
      <alignment horizontal="justify" vertical="center" wrapText="1"/>
    </xf>
    <xf numFmtId="2" fontId="20" fillId="0" borderId="50" xfId="3" applyNumberFormat="1" applyFont="1" applyBorder="1" applyAlignment="1">
      <alignment vertical="center"/>
    </xf>
    <xf numFmtId="49" fontId="15" fillId="5" borderId="61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right" vertical="center"/>
    </xf>
    <xf numFmtId="2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center" vertical="center"/>
    </xf>
    <xf numFmtId="2" fontId="15" fillId="5" borderId="65" xfId="3" applyNumberFormat="1" applyFont="1" applyFill="1" applyBorder="1" applyAlignment="1">
      <alignment vertical="center"/>
    </xf>
    <xf numFmtId="0" fontId="23" fillId="0" borderId="26" xfId="3" applyNumberFormat="1" applyFont="1" applyBorder="1" applyAlignment="1">
      <alignment horizontal="justify" vertical="center" wrapText="1"/>
    </xf>
    <xf numFmtId="2" fontId="20" fillId="0" borderId="28" xfId="3" applyNumberFormat="1" applyFont="1" applyBorder="1" applyAlignment="1">
      <alignment vertical="center"/>
    </xf>
    <xf numFmtId="0" fontId="25" fillId="0" borderId="57" xfId="3" applyNumberFormat="1" applyFont="1" applyBorder="1" applyAlignment="1">
      <alignment vertical="center"/>
    </xf>
    <xf numFmtId="0" fontId="25" fillId="0" borderId="24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right" vertical="center"/>
    </xf>
    <xf numFmtId="0" fontId="25" fillId="0" borderId="27" xfId="3" applyNumberFormat="1" applyFont="1" applyBorder="1" applyAlignment="1">
      <alignment vertical="center"/>
    </xf>
    <xf numFmtId="2" fontId="25" fillId="0" borderId="27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center" vertical="center"/>
    </xf>
    <xf numFmtId="2" fontId="25" fillId="0" borderId="58" xfId="3" applyNumberFormat="1" applyFont="1" applyBorder="1" applyAlignment="1">
      <alignment vertical="center"/>
    </xf>
    <xf numFmtId="0" fontId="25" fillId="0" borderId="66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right" vertical="center"/>
    </xf>
    <xf numFmtId="2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center" vertical="center"/>
    </xf>
    <xf numFmtId="2" fontId="23" fillId="0" borderId="64" xfId="3" applyNumberFormat="1" applyFont="1" applyBorder="1" applyAlignment="1">
      <alignment vertical="center"/>
    </xf>
    <xf numFmtId="49" fontId="15" fillId="6" borderId="36" xfId="3" applyNumberFormat="1" applyFont="1" applyFill="1" applyBorder="1" applyAlignment="1">
      <alignment vertical="center"/>
    </xf>
    <xf numFmtId="49" fontId="15" fillId="6" borderId="36" xfId="3" applyNumberFormat="1" applyFont="1" applyFill="1" applyBorder="1" applyAlignment="1">
      <alignment horizontal="right" vertical="center"/>
    </xf>
    <xf numFmtId="49" fontId="15" fillId="6" borderId="36" xfId="3" applyNumberFormat="1" applyFont="1" applyFill="1" applyBorder="1" applyAlignment="1">
      <alignment horizontal="center" vertical="center"/>
    </xf>
    <xf numFmtId="2" fontId="15" fillId="6" borderId="65" xfId="3" applyNumberFormat="1" applyFont="1" applyFill="1" applyBorder="1" applyAlignment="1">
      <alignment vertical="center"/>
    </xf>
    <xf numFmtId="0" fontId="20" fillId="0" borderId="61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right" vertical="center"/>
    </xf>
    <xf numFmtId="2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center" vertical="center"/>
    </xf>
    <xf numFmtId="2" fontId="20" fillId="0" borderId="65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left" vertical="center"/>
    </xf>
    <xf numFmtId="2" fontId="20" fillId="0" borderId="27" xfId="3" applyNumberFormat="1" applyFont="1" applyBorder="1" applyAlignment="1">
      <alignment vertical="center"/>
    </xf>
    <xf numFmtId="0" fontId="19" fillId="0" borderId="67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right" vertical="center"/>
    </xf>
    <xf numFmtId="2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center" vertical="center"/>
    </xf>
    <xf numFmtId="2" fontId="19" fillId="0" borderId="56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right" vertical="center"/>
    </xf>
    <xf numFmtId="2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center" vertical="center"/>
    </xf>
    <xf numFmtId="0" fontId="15" fillId="0" borderId="0" xfId="3" applyNumberFormat="1" applyFont="1" applyBorder="1" applyAlignment="1">
      <alignment vertical="center"/>
    </xf>
    <xf numFmtId="169" fontId="20" fillId="0" borderId="28" xfId="3" applyNumberFormat="1" applyFont="1" applyBorder="1" applyAlignment="1">
      <alignment vertical="center"/>
    </xf>
    <xf numFmtId="0" fontId="28" fillId="6" borderId="27" xfId="3" applyNumberFormat="1" applyFont="1" applyFill="1" applyBorder="1" applyAlignment="1">
      <alignment horizontal="center" vertical="center"/>
    </xf>
    <xf numFmtId="2" fontId="28" fillId="6" borderId="27" xfId="3" applyNumberFormat="1" applyFont="1" applyFill="1" applyBorder="1" applyAlignment="1">
      <alignment horizontal="center" vertical="center"/>
    </xf>
    <xf numFmtId="0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right" vertical="center"/>
    </xf>
    <xf numFmtId="2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center" vertical="center"/>
    </xf>
    <xf numFmtId="0" fontId="22" fillId="0" borderId="27" xfId="3" applyNumberFormat="1" applyFont="1" applyBorder="1" applyAlignment="1">
      <alignment horizontal="center" vertical="center" wrapText="1"/>
    </xf>
    <xf numFmtId="2" fontId="22" fillId="0" borderId="27" xfId="3" applyNumberFormat="1" applyFont="1" applyBorder="1" applyAlignment="1">
      <alignment horizontal="center" vertical="center" wrapText="1"/>
    </xf>
    <xf numFmtId="2" fontId="28" fillId="6" borderId="25" xfId="3" applyNumberFormat="1" applyFont="1" applyFill="1" applyBorder="1" applyAlignment="1">
      <alignment vertical="center"/>
    </xf>
    <xf numFmtId="0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right" vertical="center"/>
    </xf>
    <xf numFmtId="2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center" vertical="center"/>
    </xf>
    <xf numFmtId="0" fontId="24" fillId="0" borderId="36" xfId="3" applyNumberFormat="1" applyFont="1" applyBorder="1" applyAlignment="1">
      <alignment horizontal="left" vertical="center"/>
    </xf>
    <xf numFmtId="10" fontId="24" fillId="0" borderId="36" xfId="2" applyNumberFormat="1" applyFont="1" applyBorder="1" applyAlignment="1" applyProtection="1">
      <alignment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3" fillId="0" borderId="0" xfId="0" applyFont="1"/>
    <xf numFmtId="0" fontId="0" fillId="0" borderId="0" xfId="0" applyFill="1" applyAlignment="1">
      <alignment wrapText="1"/>
    </xf>
    <xf numFmtId="166" fontId="14" fillId="2" borderId="27" xfId="1" applyFont="1" applyFill="1" applyBorder="1" applyAlignment="1" applyProtection="1">
      <alignment horizontal="center" vertical="center" wrapText="1"/>
    </xf>
    <xf numFmtId="166" fontId="14" fillId="2" borderId="28" xfId="1" applyFont="1" applyFill="1" applyBorder="1" applyAlignment="1" applyProtection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167" fontId="16" fillId="0" borderId="28" xfId="0" applyNumberFormat="1" applyFont="1" applyBorder="1" applyAlignment="1">
      <alignment horizontal="center" vertical="center"/>
    </xf>
    <xf numFmtId="169" fontId="22" fillId="0" borderId="27" xfId="3" applyNumberFormat="1" applyFont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left" vertical="center" wrapText="1"/>
    </xf>
    <xf numFmtId="0" fontId="22" fillId="0" borderId="27" xfId="3" applyNumberFormat="1" applyFont="1" applyFill="1" applyBorder="1" applyAlignment="1">
      <alignment horizontal="center" vertical="center" wrapText="1"/>
    </xf>
    <xf numFmtId="169" fontId="22" fillId="0" borderId="27" xfId="3" applyNumberFormat="1" applyFont="1" applyFill="1" applyBorder="1" applyAlignment="1">
      <alignment horizontal="center" vertical="center" wrapText="1"/>
    </xf>
    <xf numFmtId="2" fontId="22" fillId="0" borderId="27" xfId="3" applyNumberFormat="1" applyFont="1" applyFill="1" applyBorder="1" applyAlignment="1">
      <alignment horizontal="center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35" fillId="0" borderId="0" xfId="4"/>
    <xf numFmtId="0" fontId="38" fillId="0" borderId="0" xfId="4" applyFont="1" applyAlignment="1">
      <alignment horizontal="center"/>
    </xf>
    <xf numFmtId="0" fontId="35" fillId="7" borderId="31" xfId="4" applyFill="1" applyBorder="1"/>
    <xf numFmtId="0" fontId="35" fillId="7" borderId="0" xfId="4" applyFill="1" applyBorder="1"/>
    <xf numFmtId="0" fontId="35" fillId="7" borderId="50" xfId="4" applyFill="1" applyBorder="1"/>
    <xf numFmtId="0" fontId="40" fillId="7" borderId="31" xfId="4" applyFont="1" applyFill="1" applyBorder="1" applyAlignment="1"/>
    <xf numFmtId="0" fontId="40" fillId="7" borderId="0" xfId="4" applyFont="1" applyFill="1" applyBorder="1" applyAlignment="1"/>
    <xf numFmtId="0" fontId="40" fillId="7" borderId="50" xfId="4" applyFont="1" applyFill="1" applyBorder="1" applyAlignment="1"/>
    <xf numFmtId="0" fontId="40" fillId="0" borderId="0" xfId="4" applyFont="1" applyAlignment="1"/>
    <xf numFmtId="0" fontId="36" fillId="0" borderId="0" xfId="4" applyFont="1" applyAlignment="1">
      <alignment horizontal="center"/>
    </xf>
    <xf numFmtId="0" fontId="38" fillId="7" borderId="31" xfId="4" applyFont="1" applyFill="1" applyBorder="1" applyAlignment="1">
      <alignment horizontal="justify"/>
    </xf>
    <xf numFmtId="0" fontId="40" fillId="7" borderId="0" xfId="4" applyFont="1" applyFill="1" applyBorder="1"/>
    <xf numFmtId="0" fontId="40" fillId="7" borderId="31" xfId="4" applyFont="1" applyFill="1" applyBorder="1" applyAlignment="1">
      <alignment horizontal="justify" vertical="top" wrapText="1"/>
    </xf>
    <xf numFmtId="2" fontId="40" fillId="7" borderId="0" xfId="4" applyNumberFormat="1" applyFont="1" applyFill="1" applyBorder="1" applyAlignment="1">
      <alignment horizontal="right" vertical="top" wrapText="1"/>
    </xf>
    <xf numFmtId="0" fontId="40" fillId="7" borderId="0" xfId="4" applyFont="1" applyFill="1" applyBorder="1" applyAlignment="1">
      <alignment horizontal="justify" vertical="top" wrapText="1"/>
    </xf>
    <xf numFmtId="0" fontId="41" fillId="7" borderId="31" xfId="4" applyFont="1" applyFill="1" applyBorder="1" applyAlignment="1">
      <alignment horizontal="right" vertical="top" wrapText="1"/>
    </xf>
    <xf numFmtId="4" fontId="41" fillId="7" borderId="0" xfId="4" applyNumberFormat="1" applyFont="1" applyFill="1" applyBorder="1" applyAlignment="1">
      <alignment horizontal="right" vertical="top" wrapText="1"/>
    </xf>
    <xf numFmtId="0" fontId="41" fillId="7" borderId="0" xfId="4" applyFont="1" applyFill="1" applyBorder="1" applyAlignment="1">
      <alignment horizontal="justify" vertical="top" wrapText="1"/>
    </xf>
    <xf numFmtId="0" fontId="40" fillId="7" borderId="31" xfId="4" applyFont="1" applyFill="1" applyBorder="1" applyAlignment="1">
      <alignment horizontal="justify"/>
    </xf>
    <xf numFmtId="2" fontId="40" fillId="7" borderId="0" xfId="4" applyNumberFormat="1" applyFont="1" applyFill="1" applyBorder="1"/>
    <xf numFmtId="0" fontId="42" fillId="7" borderId="0" xfId="4" applyFont="1" applyFill="1" applyBorder="1" applyAlignment="1">
      <alignment horizontal="justify" vertical="top" wrapText="1"/>
    </xf>
    <xf numFmtId="0" fontId="42" fillId="7" borderId="31" xfId="4" applyFont="1" applyFill="1" applyBorder="1" applyAlignment="1">
      <alignment horizontal="justify"/>
    </xf>
    <xf numFmtId="2" fontId="42" fillId="7" borderId="0" xfId="4" applyNumberFormat="1" applyFont="1" applyFill="1" applyBorder="1" applyAlignment="1">
      <alignment horizontal="right" vertical="top" wrapText="1"/>
    </xf>
    <xf numFmtId="0" fontId="42" fillId="7" borderId="31" xfId="4" applyFont="1" applyFill="1" applyBorder="1" applyAlignment="1">
      <alignment horizontal="justify" vertical="top" wrapText="1"/>
    </xf>
    <xf numFmtId="2" fontId="41" fillId="7" borderId="0" xfId="4" applyNumberFormat="1" applyFont="1" applyFill="1" applyBorder="1" applyAlignment="1">
      <alignment horizontal="right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0" fontId="41" fillId="7" borderId="50" xfId="4" applyFont="1" applyFill="1" applyBorder="1" applyAlignment="1">
      <alignment horizontal="justify" vertical="top" wrapText="1"/>
    </xf>
    <xf numFmtId="0" fontId="43" fillId="7" borderId="31" xfId="4" applyFont="1" applyFill="1" applyBorder="1" applyAlignment="1">
      <alignment wrapText="1"/>
    </xf>
    <xf numFmtId="0" fontId="35" fillId="7" borderId="39" xfId="4" applyFill="1" applyBorder="1"/>
    <xf numFmtId="0" fontId="35" fillId="7" borderId="53" xfId="4" applyFill="1" applyBorder="1"/>
    <xf numFmtId="0" fontId="35" fillId="7" borderId="54" xfId="4" applyFill="1" applyBorder="1"/>
    <xf numFmtId="0" fontId="35" fillId="0" borderId="0" xfId="4" applyBorder="1"/>
    <xf numFmtId="0" fontId="40" fillId="0" borderId="0" xfId="6" applyFont="1"/>
    <xf numFmtId="0" fontId="40" fillId="0" borderId="0" xfId="5" applyFont="1"/>
    <xf numFmtId="0" fontId="38" fillId="0" borderId="27" xfId="6" applyFont="1" applyFill="1" applyBorder="1" applyAlignment="1">
      <alignment horizontal="center" vertical="center"/>
    </xf>
    <xf numFmtId="0" fontId="38" fillId="0" borderId="37" xfId="6" applyFont="1" applyFill="1" applyBorder="1" applyAlignment="1">
      <alignment horizontal="center" vertical="center"/>
    </xf>
    <xf numFmtId="44" fontId="38" fillId="0" borderId="27" xfId="10" applyFont="1" applyFill="1" applyBorder="1" applyAlignment="1">
      <alignment vertical="center" wrapText="1"/>
    </xf>
    <xf numFmtId="44" fontId="40" fillId="8" borderId="27" xfId="6" applyNumberFormat="1" applyFont="1" applyFill="1" applyBorder="1" applyAlignment="1">
      <alignment horizontal="center"/>
    </xf>
    <xf numFmtId="0" fontId="40" fillId="0" borderId="27" xfId="6" applyFont="1" applyFill="1" applyBorder="1" applyAlignment="1">
      <alignment horizontal="center"/>
    </xf>
    <xf numFmtId="0" fontId="40" fillId="0" borderId="27" xfId="6" applyFont="1" applyFill="1" applyBorder="1"/>
    <xf numFmtId="0" fontId="40" fillId="0" borderId="37" xfId="6" applyFont="1" applyBorder="1"/>
    <xf numFmtId="0" fontId="40" fillId="0" borderId="27" xfId="6" applyFont="1" applyBorder="1"/>
    <xf numFmtId="164" fontId="38" fillId="0" borderId="28" xfId="9" applyNumberFormat="1" applyFont="1" applyBorder="1"/>
    <xf numFmtId="10" fontId="38" fillId="0" borderId="27" xfId="11" applyNumberFormat="1" applyFont="1" applyFill="1" applyBorder="1" applyAlignment="1">
      <alignment horizontal="right" vertical="center" wrapText="1"/>
    </xf>
    <xf numFmtId="9" fontId="40" fillId="8" borderId="27" xfId="11" applyFont="1" applyFill="1" applyBorder="1" applyAlignment="1">
      <alignment horizontal="center"/>
    </xf>
    <xf numFmtId="9" fontId="38" fillId="0" borderId="28" xfId="11" applyFont="1" applyBorder="1"/>
    <xf numFmtId="9" fontId="40" fillId="8" borderId="27" xfId="11" applyFont="1" applyFill="1" applyBorder="1"/>
    <xf numFmtId="44" fontId="40" fillId="8" borderId="27" xfId="6" applyNumberFormat="1" applyFont="1" applyFill="1" applyBorder="1"/>
    <xf numFmtId="44" fontId="40" fillId="8" borderId="37" xfId="6" applyNumberFormat="1" applyFont="1" applyFill="1" applyBorder="1"/>
    <xf numFmtId="9" fontId="40" fillId="8" borderId="37" xfId="11" applyFont="1" applyFill="1" applyBorder="1" applyAlignment="1">
      <alignment horizontal="center"/>
    </xf>
    <xf numFmtId="44" fontId="38" fillId="0" borderId="27" xfId="6" applyNumberFormat="1" applyFont="1" applyFill="1" applyBorder="1" applyAlignment="1">
      <alignment horizontal="center"/>
    </xf>
    <xf numFmtId="10" fontId="38" fillId="0" borderId="46" xfId="11" applyNumberFormat="1" applyFont="1" applyFill="1" applyBorder="1" applyAlignment="1">
      <alignment horizontal="center"/>
    </xf>
    <xf numFmtId="10" fontId="38" fillId="0" borderId="72" xfId="11" applyNumberFormat="1" applyFont="1" applyFill="1" applyBorder="1" applyAlignment="1">
      <alignment horizontal="center"/>
    </xf>
    <xf numFmtId="9" fontId="38" fillId="0" borderId="47" xfId="11" applyFont="1" applyBorder="1" applyAlignment="1">
      <alignment horizontal="center" vertical="center"/>
    </xf>
    <xf numFmtId="0" fontId="40" fillId="0" borderId="0" xfId="6" applyFont="1" applyAlignment="1">
      <alignment horizontal="center"/>
    </xf>
    <xf numFmtId="164" fontId="38" fillId="0" borderId="0" xfId="9" applyNumberFormat="1" applyFont="1"/>
    <xf numFmtId="0" fontId="38" fillId="0" borderId="24" xfId="6" applyFont="1" applyFill="1" applyBorder="1" applyAlignment="1">
      <alignment horizontal="center" vertical="center"/>
    </xf>
    <xf numFmtId="0" fontId="38" fillId="0" borderId="69" xfId="6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vertical="center"/>
    </xf>
    <xf numFmtId="0" fontId="0" fillId="7" borderId="36" xfId="0" applyFill="1" applyBorder="1" applyAlignment="1"/>
    <xf numFmtId="166" fontId="14" fillId="0" borderId="27" xfId="1" applyFont="1" applyFill="1" applyBorder="1" applyAlignment="1" applyProtection="1">
      <alignment horizontal="center" vertical="center" wrapText="1"/>
    </xf>
    <xf numFmtId="167" fontId="0" fillId="0" borderId="27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7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16" fillId="0" borderId="28" xfId="0" applyNumberFormat="1" applyFont="1" applyFill="1" applyBorder="1" applyAlignment="1">
      <alignment horizontal="center" vertical="center"/>
    </xf>
    <xf numFmtId="167" fontId="16" fillId="0" borderId="47" xfId="0" applyNumberFormat="1" applyFont="1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2" fontId="17" fillId="0" borderId="77" xfId="0" applyNumberFormat="1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1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169" fontId="18" fillId="0" borderId="77" xfId="0" applyNumberFormat="1" applyFont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2" fontId="34" fillId="0" borderId="77" xfId="0" applyNumberFormat="1" applyFont="1" applyBorder="1" applyAlignment="1">
      <alignment horizontal="center" vertical="center"/>
    </xf>
    <xf numFmtId="0" fontId="0" fillId="0" borderId="77" xfId="0" applyBorder="1"/>
    <xf numFmtId="0" fontId="15" fillId="4" borderId="78" xfId="0" applyFont="1" applyFill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2" fontId="17" fillId="0" borderId="79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2" fontId="17" fillId="0" borderId="79" xfId="0" applyNumberFormat="1" applyFont="1" applyFill="1" applyBorder="1" applyAlignment="1">
      <alignment horizontal="center" vertical="center"/>
    </xf>
    <xf numFmtId="0" fontId="18" fillId="0" borderId="78" xfId="0" applyFont="1" applyFill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2" fontId="34" fillId="0" borderId="79" xfId="0" applyNumberFormat="1" applyFont="1" applyBorder="1" applyAlignment="1">
      <alignment horizontal="center" vertical="center"/>
    </xf>
    <xf numFmtId="168" fontId="17" fillId="0" borderId="79" xfId="0" applyNumberFormat="1" applyFont="1" applyFill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2" fontId="18" fillId="0" borderId="81" xfId="0" applyNumberFormat="1" applyFont="1" applyBorder="1" applyAlignment="1">
      <alignment horizontal="center" vertical="center"/>
    </xf>
    <xf numFmtId="0" fontId="0" fillId="0" borderId="82" xfId="0" applyBorder="1"/>
    <xf numFmtId="0" fontId="15" fillId="0" borderId="2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4" borderId="84" xfId="0" applyFont="1" applyFill="1" applyBorder="1" applyAlignment="1">
      <alignment horizontal="center" vertical="center"/>
    </xf>
    <xf numFmtId="2" fontId="18" fillId="0" borderId="79" xfId="0" applyNumberFormat="1" applyFont="1" applyFill="1" applyBorder="1" applyAlignment="1">
      <alignment horizontal="center" vertical="center"/>
    </xf>
    <xf numFmtId="10" fontId="35" fillId="7" borderId="0" xfId="2" applyNumberFormat="1" applyFont="1" applyFill="1" applyBorder="1"/>
    <xf numFmtId="2" fontId="18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66" fontId="30" fillId="0" borderId="27" xfId="1" applyBorder="1" applyAlignment="1" applyProtection="1">
      <alignment vertical="center"/>
    </xf>
    <xf numFmtId="166" fontId="30" fillId="0" borderId="27" xfId="1" applyBorder="1" applyAlignment="1">
      <alignment vertical="center"/>
    </xf>
    <xf numFmtId="166" fontId="30" fillId="0" borderId="0" xfId="1" applyAlignment="1">
      <alignment vertical="center"/>
    </xf>
    <xf numFmtId="167" fontId="0" fillId="0" borderId="0" xfId="0" applyNumberFormat="1" applyFill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9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70" fontId="18" fillId="0" borderId="77" xfId="0" applyNumberFormat="1" applyFont="1" applyBorder="1" applyAlignment="1">
      <alignment horizontal="center" vertical="center"/>
    </xf>
    <xf numFmtId="171" fontId="18" fillId="0" borderId="77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2" fontId="18" fillId="0" borderId="95" xfId="0" applyNumberFormat="1" applyFont="1" applyBorder="1" applyAlignment="1">
      <alignment horizontal="center" vertical="center"/>
    </xf>
    <xf numFmtId="0" fontId="0" fillId="0" borderId="96" xfId="0" applyBorder="1"/>
    <xf numFmtId="0" fontId="28" fillId="6" borderId="24" xfId="3" applyNumberFormat="1" applyFont="1" applyFill="1" applyBorder="1" applyAlignment="1">
      <alignment horizontal="center" vertical="center"/>
    </xf>
    <xf numFmtId="49" fontId="21" fillId="0" borderId="27" xfId="3" applyNumberFormat="1" applyFont="1" applyBorder="1" applyAlignment="1" applyProtection="1">
      <alignment horizontal="center" vertical="center"/>
      <protection locked="0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20" fillId="0" borderId="61" xfId="3" applyNumberFormat="1" applyFont="1" applyBorder="1" applyAlignment="1">
      <alignment horizontal="left" vertical="center"/>
    </xf>
    <xf numFmtId="0" fontId="35" fillId="7" borderId="31" xfId="4" applyFont="1" applyFill="1" applyBorder="1" applyAlignment="1" applyProtection="1">
      <alignment horizontal="center"/>
    </xf>
    <xf numFmtId="0" fontId="54" fillId="3" borderId="30" xfId="3" applyFont="1" applyFill="1" applyBorder="1" applyAlignment="1">
      <alignment horizontal="center" vertical="center"/>
    </xf>
    <xf numFmtId="14" fontId="55" fillId="3" borderId="58" xfId="3" applyNumberFormat="1" applyFont="1" applyFill="1" applyBorder="1" applyAlignment="1">
      <alignment horizontal="center" vertical="center"/>
    </xf>
    <xf numFmtId="44" fontId="38" fillId="0" borderId="28" xfId="6" applyNumberFormat="1" applyFont="1" applyFill="1" applyBorder="1" applyAlignment="1">
      <alignment horizontal="center"/>
    </xf>
    <xf numFmtId="9" fontId="38" fillId="0" borderId="46" xfId="11" applyFont="1" applyFill="1" applyBorder="1" applyAlignment="1">
      <alignment vertical="center" wrapText="1"/>
    </xf>
    <xf numFmtId="0" fontId="22" fillId="0" borderId="26" xfId="3" applyNumberFormat="1" applyFont="1" applyBorder="1" applyAlignment="1">
      <alignment horizontal="left" vertical="center" wrapText="1"/>
    </xf>
    <xf numFmtId="2" fontId="23" fillId="0" borderId="28" xfId="3" applyNumberFormat="1" applyFont="1" applyBorder="1" applyAlignment="1">
      <alignment horizontal="right" vertical="center" wrapText="1"/>
    </xf>
    <xf numFmtId="0" fontId="26" fillId="0" borderId="43" xfId="3" applyNumberFormat="1" applyFont="1" applyBorder="1" applyAlignment="1">
      <alignment vertical="center"/>
    </xf>
    <xf numFmtId="0" fontId="27" fillId="0" borderId="61" xfId="3" applyNumberFormat="1" applyFont="1" applyBorder="1" applyAlignment="1">
      <alignment horizontal="center" vertical="center"/>
    </xf>
    <xf numFmtId="49" fontId="28" fillId="6" borderId="26" xfId="3" applyNumberFormat="1" applyFont="1" applyFill="1" applyBorder="1" applyAlignment="1">
      <alignment horizontal="center" vertical="center"/>
    </xf>
    <xf numFmtId="2" fontId="28" fillId="6" borderId="28" xfId="3" applyNumberFormat="1" applyFont="1" applyFill="1" applyBorder="1" applyAlignment="1">
      <alignment horizontal="center" vertical="center"/>
    </xf>
    <xf numFmtId="49" fontId="14" fillId="2" borderId="61" xfId="3" applyNumberFormat="1" applyFont="1" applyFill="1" applyBorder="1" applyAlignment="1">
      <alignment vertical="center"/>
    </xf>
    <xf numFmtId="2" fontId="14" fillId="2" borderId="65" xfId="3" applyNumberFormat="1" applyFont="1" applyFill="1" applyBorder="1" applyAlignment="1">
      <alignment vertical="center"/>
    </xf>
    <xf numFmtId="165" fontId="22" fillId="0" borderId="28" xfId="1" applyNumberFormat="1" applyFont="1" applyBorder="1" applyAlignment="1" applyProtection="1">
      <alignment horizontal="center" vertical="center" wrapText="1"/>
    </xf>
    <xf numFmtId="2" fontId="28" fillId="0" borderId="28" xfId="3" applyNumberFormat="1" applyFont="1" applyBorder="1" applyAlignment="1">
      <alignment vertical="center"/>
    </xf>
    <xf numFmtId="49" fontId="28" fillId="5" borderId="26" xfId="3" applyNumberFormat="1" applyFont="1" applyFill="1" applyBorder="1" applyAlignment="1">
      <alignment horizontal="center" vertical="center"/>
    </xf>
    <xf numFmtId="0" fontId="22" fillId="0" borderId="26" xfId="3" applyNumberFormat="1" applyFont="1" applyFill="1" applyBorder="1" applyAlignment="1">
      <alignment horizontal="left" vertical="center" wrapText="1"/>
    </xf>
    <xf numFmtId="165" fontId="22" fillId="0" borderId="28" xfId="1" applyNumberFormat="1" applyFont="1" applyFill="1" applyBorder="1" applyAlignment="1" applyProtection="1">
      <alignment horizontal="center" vertical="center" wrapText="1"/>
    </xf>
    <xf numFmtId="2" fontId="29" fillId="0" borderId="28" xfId="3" applyNumberFormat="1" applyFont="1" applyBorder="1" applyAlignment="1">
      <alignment vertical="center"/>
    </xf>
    <xf numFmtId="49" fontId="28" fillId="6" borderId="29" xfId="3" applyNumberFormat="1" applyFont="1" applyFill="1" applyBorder="1" applyAlignment="1">
      <alignment vertical="center"/>
    </xf>
    <xf numFmtId="2" fontId="28" fillId="6" borderId="30" xfId="3" applyNumberFormat="1" applyFont="1" applyFill="1" applyBorder="1" applyAlignment="1">
      <alignment vertical="center"/>
    </xf>
    <xf numFmtId="0" fontId="24" fillId="0" borderId="61" xfId="3" applyNumberFormat="1" applyFont="1" applyBorder="1" applyAlignment="1">
      <alignment vertical="center"/>
    </xf>
    <xf numFmtId="2" fontId="24" fillId="0" borderId="65" xfId="3" applyNumberFormat="1" applyFont="1" applyBorder="1" applyAlignment="1">
      <alignment vertical="center"/>
    </xf>
    <xf numFmtId="0" fontId="24" fillId="0" borderId="61" xfId="3" applyNumberFormat="1" applyFont="1" applyBorder="1" applyAlignment="1">
      <alignment horizontal="left" vertical="center"/>
    </xf>
    <xf numFmtId="0" fontId="28" fillId="0" borderId="67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right" vertical="center"/>
    </xf>
    <xf numFmtId="2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center" vertical="center"/>
    </xf>
    <xf numFmtId="2" fontId="28" fillId="0" borderId="56" xfId="3" applyNumberFormat="1" applyFont="1" applyBorder="1" applyAlignment="1">
      <alignment vertical="center"/>
    </xf>
    <xf numFmtId="0" fontId="0" fillId="0" borderId="97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23" fillId="0" borderId="27" xfId="3" applyNumberFormat="1" applyFont="1" applyFill="1" applyBorder="1" applyAlignment="1">
      <alignment horizontal="center" vertical="center" wrapText="1"/>
    </xf>
    <xf numFmtId="0" fontId="34" fillId="7" borderId="77" xfId="0" applyFont="1" applyFill="1" applyBorder="1" applyAlignment="1">
      <alignment horizontal="center" vertical="center"/>
    </xf>
    <xf numFmtId="2" fontId="34" fillId="7" borderId="79" xfId="0" applyNumberFormat="1" applyFont="1" applyFill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168" fontId="34" fillId="0" borderId="79" xfId="0" applyNumberFormat="1" applyFont="1" applyBorder="1" applyAlignment="1">
      <alignment horizontal="center" vertical="center"/>
    </xf>
    <xf numFmtId="0" fontId="32" fillId="7" borderId="78" xfId="0" applyFont="1" applyFill="1" applyBorder="1" applyAlignment="1">
      <alignment horizontal="center" vertical="center"/>
    </xf>
    <xf numFmtId="0" fontId="32" fillId="7" borderId="77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2" fontId="32" fillId="7" borderId="79" xfId="0" applyNumberFormat="1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 wrapText="1"/>
    </xf>
    <xf numFmtId="0" fontId="38" fillId="7" borderId="34" xfId="4" applyFont="1" applyFill="1" applyBorder="1" applyAlignment="1">
      <alignment horizontal="center"/>
    </xf>
    <xf numFmtId="0" fontId="38" fillId="7" borderId="51" xfId="4" applyFont="1" applyFill="1" applyBorder="1" applyAlignment="1">
      <alignment horizontal="center"/>
    </xf>
    <xf numFmtId="0" fontId="38" fillId="7" borderId="52" xfId="4" applyFont="1" applyFill="1" applyBorder="1" applyAlignment="1">
      <alignment horizontal="center"/>
    </xf>
    <xf numFmtId="0" fontId="36" fillId="0" borderId="38" xfId="4" applyFont="1" applyBorder="1" applyAlignment="1">
      <alignment horizontal="center" vertical="top" wrapText="1"/>
    </xf>
    <xf numFmtId="0" fontId="35" fillId="0" borderId="48" xfId="4" applyBorder="1" applyAlignment="1">
      <alignment horizontal="center" vertical="top"/>
    </xf>
    <xf numFmtId="0" fontId="35" fillId="0" borderId="49" xfId="4" applyBorder="1" applyAlignment="1">
      <alignment horizontal="center" vertical="top"/>
    </xf>
    <xf numFmtId="0" fontId="35" fillId="0" borderId="31" xfId="4" applyBorder="1" applyAlignment="1">
      <alignment horizontal="center" vertical="top"/>
    </xf>
    <xf numFmtId="0" fontId="35" fillId="0" borderId="0" xfId="4" applyBorder="1" applyAlignment="1">
      <alignment horizontal="center" vertical="top"/>
    </xf>
    <xf numFmtId="0" fontId="35" fillId="0" borderId="50" xfId="4" applyBorder="1" applyAlignment="1">
      <alignment horizontal="center" vertical="top"/>
    </xf>
    <xf numFmtId="0" fontId="35" fillId="0" borderId="39" xfId="4" applyBorder="1" applyAlignment="1">
      <alignment horizontal="center" vertical="top"/>
    </xf>
    <xf numFmtId="0" fontId="35" fillId="0" borderId="53" xfId="4" applyBorder="1" applyAlignment="1">
      <alignment horizontal="center" vertical="top"/>
    </xf>
    <xf numFmtId="0" fontId="35" fillId="0" borderId="54" xfId="4" applyBorder="1" applyAlignment="1">
      <alignment horizontal="center" vertical="top"/>
    </xf>
    <xf numFmtId="0" fontId="38" fillId="7" borderId="38" xfId="4" applyFont="1" applyFill="1" applyBorder="1" applyAlignment="1">
      <alignment horizontal="center" vertical="center"/>
    </xf>
    <xf numFmtId="0" fontId="38" fillId="7" borderId="48" xfId="4" applyFont="1" applyFill="1" applyBorder="1" applyAlignment="1">
      <alignment horizontal="center" vertical="center"/>
    </xf>
    <xf numFmtId="0" fontId="38" fillId="7" borderId="49" xfId="4" applyFont="1" applyFill="1" applyBorder="1" applyAlignment="1">
      <alignment horizontal="center" vertical="center"/>
    </xf>
    <xf numFmtId="0" fontId="39" fillId="7" borderId="31" xfId="4" applyFont="1" applyFill="1" applyBorder="1" applyAlignment="1">
      <alignment horizontal="center"/>
    </xf>
    <xf numFmtId="0" fontId="39" fillId="7" borderId="0" xfId="4" applyFont="1" applyFill="1" applyBorder="1" applyAlignment="1">
      <alignment horizontal="center"/>
    </xf>
    <xf numFmtId="0" fontId="39" fillId="7" borderId="50" xfId="4" applyFont="1" applyFill="1" applyBorder="1" applyAlignment="1">
      <alignment horizontal="center"/>
    </xf>
    <xf numFmtId="0" fontId="36" fillId="7" borderId="38" xfId="4" applyFont="1" applyFill="1" applyBorder="1" applyAlignment="1">
      <alignment horizontal="center"/>
    </xf>
    <xf numFmtId="0" fontId="36" fillId="7" borderId="48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35" fillId="7" borderId="31" xfId="4" applyFont="1" applyFill="1" applyBorder="1" applyAlignment="1">
      <alignment horizontal="center"/>
    </xf>
    <xf numFmtId="0" fontId="35" fillId="7" borderId="0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39" xfId="4" applyFont="1" applyFill="1" applyBorder="1" applyAlignment="1">
      <alignment horizontal="center"/>
    </xf>
    <xf numFmtId="0" fontId="35" fillId="7" borderId="53" xfId="4" applyFont="1" applyFill="1" applyBorder="1" applyAlignment="1">
      <alignment horizontal="center"/>
    </xf>
    <xf numFmtId="0" fontId="35" fillId="7" borderId="54" xfId="4" applyFont="1" applyFill="1" applyBorder="1" applyAlignment="1">
      <alignment horizontal="center"/>
    </xf>
    <xf numFmtId="0" fontId="36" fillId="0" borderId="48" xfId="4" applyFont="1" applyBorder="1" applyAlignment="1">
      <alignment horizontal="center" vertical="top" wrapText="1"/>
    </xf>
    <xf numFmtId="0" fontId="36" fillId="0" borderId="49" xfId="4" applyFont="1" applyBorder="1" applyAlignment="1">
      <alignment horizontal="center" vertical="top" wrapText="1"/>
    </xf>
    <xf numFmtId="0" fontId="36" fillId="0" borderId="31" xfId="4" applyFont="1" applyBorder="1" applyAlignment="1">
      <alignment horizontal="center" vertical="top" wrapText="1"/>
    </xf>
    <xf numFmtId="0" fontId="36" fillId="0" borderId="0" xfId="4" applyFont="1" applyBorder="1" applyAlignment="1">
      <alignment horizontal="center" vertical="top" wrapText="1"/>
    </xf>
    <xf numFmtId="0" fontId="36" fillId="0" borderId="50" xfId="4" applyFont="1" applyBorder="1" applyAlignment="1">
      <alignment horizontal="center" vertical="top" wrapText="1"/>
    </xf>
    <xf numFmtId="0" fontId="36" fillId="0" borderId="39" xfId="4" applyFont="1" applyBorder="1" applyAlignment="1">
      <alignment horizontal="center" vertical="top" wrapText="1"/>
    </xf>
    <xf numFmtId="0" fontId="36" fillId="0" borderId="53" xfId="4" applyFont="1" applyBorder="1" applyAlignment="1">
      <alignment horizontal="center" vertical="top" wrapText="1"/>
    </xf>
    <xf numFmtId="0" fontId="36" fillId="0" borderId="54" xfId="4" applyFont="1" applyBorder="1" applyAlignment="1">
      <alignment horizontal="center" vertical="top" wrapText="1"/>
    </xf>
    <xf numFmtId="0" fontId="4" fillId="2" borderId="73" xfId="3" applyNumberFormat="1" applyFont="1" applyFill="1" applyBorder="1" applyAlignment="1">
      <alignment horizontal="center" vertical="center" wrapText="1"/>
    </xf>
    <xf numFmtId="0" fontId="4" fillId="2" borderId="48" xfId="3" applyNumberFormat="1" applyFont="1" applyFill="1" applyBorder="1" applyAlignment="1">
      <alignment horizontal="center" vertical="center" wrapText="1"/>
    </xf>
    <xf numFmtId="0" fontId="4" fillId="2" borderId="70" xfId="3" applyNumberFormat="1" applyFont="1" applyFill="1" applyBorder="1" applyAlignment="1">
      <alignment horizontal="center" vertical="center" wrapText="1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2" borderId="0" xfId="3" applyNumberFormat="1" applyFont="1" applyFill="1" applyBorder="1" applyAlignment="1">
      <alignment horizontal="center" vertical="center" wrapText="1"/>
    </xf>
    <xf numFmtId="0" fontId="4" fillId="2" borderId="6" xfId="3" applyNumberFormat="1" applyFont="1" applyFill="1" applyBorder="1" applyAlignment="1">
      <alignment horizontal="center" vertical="center" wrapText="1"/>
    </xf>
    <xf numFmtId="0" fontId="4" fillId="2" borderId="89" xfId="3" applyNumberFormat="1" applyFont="1" applyFill="1" applyBorder="1" applyAlignment="1">
      <alignment horizontal="center" vertical="center" wrapText="1"/>
    </xf>
    <xf numFmtId="0" fontId="4" fillId="2" borderId="90" xfId="3" applyNumberFormat="1" applyFont="1" applyFill="1" applyBorder="1" applyAlignment="1">
      <alignment horizontal="center" vertical="center" wrapText="1"/>
    </xf>
    <xf numFmtId="0" fontId="4" fillId="2" borderId="91" xfId="3" applyNumberFormat="1" applyFont="1" applyFill="1" applyBorder="1" applyAlignment="1">
      <alignment horizontal="center" vertical="center" wrapText="1"/>
    </xf>
    <xf numFmtId="49" fontId="8" fillId="2" borderId="4" xfId="3" applyNumberFormat="1" applyFont="1" applyFill="1" applyBorder="1" applyAlignment="1">
      <alignment horizontal="center" vertical="center"/>
    </xf>
    <xf numFmtId="49" fontId="9" fillId="2" borderId="4" xfId="3" applyNumberFormat="1" applyFont="1" applyFill="1" applyBorder="1" applyAlignment="1">
      <alignment horizontal="center" vertical="center"/>
    </xf>
    <xf numFmtId="0" fontId="6" fillId="0" borderId="7" xfId="3" applyNumberFormat="1" applyFont="1" applyBorder="1" applyAlignment="1">
      <alignment horizontal="center" vertical="center" wrapText="1"/>
    </xf>
    <xf numFmtId="49" fontId="8" fillId="2" borderId="24" xfId="3" applyNumberFormat="1" applyFont="1" applyFill="1" applyBorder="1" applyAlignment="1">
      <alignment horizontal="center" vertical="center"/>
    </xf>
    <xf numFmtId="0" fontId="2" fillId="2" borderId="24" xfId="3" applyNumberFormat="1" applyFont="1" applyFill="1" applyBorder="1" applyAlignment="1">
      <alignment horizontal="center" vertical="center" wrapText="1"/>
    </xf>
    <xf numFmtId="49" fontId="8" fillId="2" borderId="25" xfId="3" applyNumberFormat="1" applyFont="1" applyFill="1" applyBorder="1" applyAlignment="1">
      <alignment horizontal="center" vertical="center" wrapText="1"/>
    </xf>
    <xf numFmtId="2" fontId="18" fillId="0" borderId="86" xfId="0" applyNumberFormat="1" applyFont="1" applyBorder="1" applyAlignment="1">
      <alignment horizontal="center" vertical="center" wrapText="1"/>
    </xf>
    <xf numFmtId="2" fontId="18" fillId="0" borderId="88" xfId="0" applyNumberFormat="1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9" fillId="5" borderId="78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0" fontId="19" fillId="5" borderId="79" xfId="0" applyFont="1" applyFill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0" fontId="15" fillId="4" borderId="79" xfId="0" applyFont="1" applyFill="1" applyBorder="1" applyAlignment="1">
      <alignment horizontal="center" vertical="center"/>
    </xf>
    <xf numFmtId="0" fontId="17" fillId="0" borderId="77" xfId="0" applyFont="1" applyBorder="1" applyAlignment="1">
      <alignment horizontal="left" vertical="center" wrapText="1"/>
    </xf>
    <xf numFmtId="0" fontId="17" fillId="0" borderId="77" xfId="0" applyFont="1" applyBorder="1" applyAlignment="1">
      <alignment horizontal="center" vertical="center" wrapText="1"/>
    </xf>
    <xf numFmtId="2" fontId="18" fillId="0" borderId="81" xfId="0" applyNumberFormat="1" applyFont="1" applyBorder="1" applyAlignment="1">
      <alignment horizontal="center" vertical="center"/>
    </xf>
    <xf numFmtId="0" fontId="17" fillId="0" borderId="86" xfId="0" applyFont="1" applyFill="1" applyBorder="1" applyAlignment="1">
      <alignment horizontal="center" vertical="center" wrapText="1"/>
    </xf>
    <xf numFmtId="0" fontId="17" fillId="0" borderId="87" xfId="0" applyFont="1" applyFill="1" applyBorder="1" applyAlignment="1">
      <alignment horizontal="center" vertical="center" wrapText="1"/>
    </xf>
    <xf numFmtId="0" fontId="17" fillId="0" borderId="88" xfId="0" applyFont="1" applyFill="1" applyBorder="1" applyAlignment="1">
      <alignment horizontal="center" vertical="center" wrapText="1"/>
    </xf>
    <xf numFmtId="0" fontId="18" fillId="0" borderId="77" xfId="0" applyFont="1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 wrapText="1"/>
    </xf>
    <xf numFmtId="0" fontId="17" fillId="0" borderId="87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7" fillId="0" borderId="86" xfId="0" applyFont="1" applyBorder="1" applyAlignment="1">
      <alignment horizontal="left" vertical="center" wrapText="1"/>
    </xf>
    <xf numFmtId="0" fontId="17" fillId="0" borderId="87" xfId="0" applyFont="1" applyBorder="1" applyAlignment="1">
      <alignment horizontal="left" vertical="center" wrapText="1"/>
    </xf>
    <xf numFmtId="0" fontId="17" fillId="0" borderId="88" xfId="0" applyFont="1" applyBorder="1" applyAlignment="1">
      <alignment horizontal="left" vertical="center" wrapText="1"/>
    </xf>
    <xf numFmtId="2" fontId="18" fillId="0" borderId="77" xfId="0" applyNumberFormat="1" applyFont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32" fillId="7" borderId="77" xfId="0" applyFont="1" applyFill="1" applyBorder="1" applyAlignment="1">
      <alignment horizontal="left" vertical="center" wrapText="1"/>
    </xf>
    <xf numFmtId="2" fontId="34" fillId="0" borderId="77" xfId="0" applyNumberFormat="1" applyFont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2" fontId="18" fillId="0" borderId="86" xfId="0" applyNumberFormat="1" applyFont="1" applyBorder="1" applyAlignment="1">
      <alignment horizontal="center" vertical="center"/>
    </xf>
    <xf numFmtId="2" fontId="18" fillId="0" borderId="88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 wrapText="1"/>
    </xf>
    <xf numFmtId="168" fontId="17" fillId="0" borderId="77" xfId="0" applyNumberFormat="1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2" fontId="17" fillId="0" borderId="86" xfId="0" applyNumberFormat="1" applyFont="1" applyBorder="1" applyAlignment="1">
      <alignment horizontal="center" vertical="center"/>
    </xf>
    <xf numFmtId="2" fontId="17" fillId="0" borderId="87" xfId="0" applyNumberFormat="1" applyFont="1" applyBorder="1" applyAlignment="1">
      <alignment horizontal="center" vertical="center"/>
    </xf>
    <xf numFmtId="2" fontId="17" fillId="0" borderId="88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4" borderId="83" xfId="0" applyFont="1" applyFill="1" applyBorder="1" applyAlignment="1">
      <alignment horizontal="center" vertical="center"/>
    </xf>
    <xf numFmtId="0" fontId="15" fillId="4" borderId="85" xfId="0" applyFont="1" applyFill="1" applyBorder="1" applyAlignment="1">
      <alignment horizontal="center" vertical="center"/>
    </xf>
    <xf numFmtId="0" fontId="12" fillId="0" borderId="26" xfId="3" applyNumberFormat="1" applyFont="1" applyBorder="1" applyAlignment="1">
      <alignment horizontal="left" vertical="top"/>
    </xf>
    <xf numFmtId="0" fontId="12" fillId="0" borderId="27" xfId="3" applyNumberFormat="1" applyFont="1" applyBorder="1" applyAlignment="1">
      <alignment horizontal="left" vertical="top"/>
    </xf>
    <xf numFmtId="0" fontId="12" fillId="0" borderId="28" xfId="3" applyNumberFormat="1" applyFont="1" applyBorder="1" applyAlignment="1">
      <alignment horizontal="left" vertical="top"/>
    </xf>
    <xf numFmtId="0" fontId="58" fillId="0" borderId="43" xfId="3" applyNumberFormat="1" applyFont="1" applyBorder="1" applyAlignment="1">
      <alignment horizontal="center" wrapText="1"/>
    </xf>
    <xf numFmtId="0" fontId="58" fillId="0" borderId="44" xfId="3" applyNumberFormat="1" applyFont="1" applyBorder="1" applyAlignment="1">
      <alignment horizontal="center" wrapText="1"/>
    </xf>
    <xf numFmtId="0" fontId="58" fillId="0" borderId="42" xfId="3" applyNumberFormat="1" applyFont="1" applyBorder="1" applyAlignment="1">
      <alignment horizontal="center" wrapText="1"/>
    </xf>
    <xf numFmtId="0" fontId="10" fillId="0" borderId="26" xfId="3" applyNumberFormat="1" applyFont="1" applyBorder="1" applyAlignment="1">
      <alignment horizontal="center" vertical="center" wrapText="1"/>
    </xf>
    <xf numFmtId="0" fontId="10" fillId="0" borderId="27" xfId="3" applyNumberFormat="1" applyFont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/>
    </xf>
    <xf numFmtId="14" fontId="11" fillId="0" borderId="27" xfId="3" applyNumberFormat="1" applyFont="1" applyFill="1" applyBorder="1" applyAlignment="1">
      <alignment horizontal="center" vertical="center"/>
    </xf>
    <xf numFmtId="14" fontId="11" fillId="0" borderId="28" xfId="3" applyNumberFormat="1" applyFont="1" applyFill="1" applyBorder="1" applyAlignment="1">
      <alignment horizontal="center" vertical="center"/>
    </xf>
    <xf numFmtId="0" fontId="56" fillId="2" borderId="66" xfId="0" applyFont="1" applyFill="1" applyBorder="1" applyAlignment="1">
      <alignment horizontal="left" vertical="center" wrapText="1"/>
    </xf>
    <xf numFmtId="0" fontId="56" fillId="2" borderId="2" xfId="0" applyFont="1" applyFill="1" applyBorder="1" applyAlignment="1">
      <alignment horizontal="left" vertical="center" wrapText="1"/>
    </xf>
    <xf numFmtId="0" fontId="56" fillId="2" borderId="64" xfId="0" applyFont="1" applyFill="1" applyBorder="1" applyAlignment="1">
      <alignment horizontal="left" vertical="center" wrapText="1"/>
    </xf>
    <xf numFmtId="0" fontId="56" fillId="2" borderId="68" xfId="0" applyFont="1" applyFill="1" applyBorder="1" applyAlignment="1">
      <alignment horizontal="left" vertical="center" wrapText="1"/>
    </xf>
    <xf numFmtId="0" fontId="56" fillId="2" borderId="62" xfId="0" applyFont="1" applyFill="1" applyBorder="1" applyAlignment="1">
      <alignment horizontal="left" vertical="center" wrapText="1"/>
    </xf>
    <xf numFmtId="0" fontId="56" fillId="2" borderId="63" xfId="0" applyFont="1" applyFill="1" applyBorder="1" applyAlignment="1">
      <alignment horizontal="left" vertical="center" wrapText="1"/>
    </xf>
    <xf numFmtId="2" fontId="18" fillId="0" borderId="77" xfId="0" applyNumberFormat="1" applyFont="1" applyFill="1" applyBorder="1" applyAlignment="1">
      <alignment horizontal="center" vertical="center"/>
    </xf>
    <xf numFmtId="2" fontId="18" fillId="0" borderId="92" xfId="0" applyNumberFormat="1" applyFont="1" applyBorder="1" applyAlignment="1">
      <alignment horizontal="center" vertical="center"/>
    </xf>
    <xf numFmtId="2" fontId="18" fillId="0" borderId="93" xfId="0" applyNumberFormat="1" applyFont="1" applyBorder="1" applyAlignment="1">
      <alignment horizontal="center" vertical="center"/>
    </xf>
    <xf numFmtId="0" fontId="17" fillId="0" borderId="77" xfId="0" applyFont="1" applyFill="1" applyBorder="1" applyAlignment="1">
      <alignment horizontal="left" vertical="center" wrapText="1"/>
    </xf>
    <xf numFmtId="0" fontId="17" fillId="0" borderId="83" xfId="0" applyFont="1" applyBorder="1" applyAlignment="1">
      <alignment horizontal="center" vertical="center"/>
    </xf>
    <xf numFmtId="2" fontId="18" fillId="0" borderId="95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center" vertical="center"/>
    </xf>
    <xf numFmtId="167" fontId="16" fillId="0" borderId="27" xfId="0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7" fontId="16" fillId="0" borderId="27" xfId="0" applyNumberFormat="1" applyFont="1" applyBorder="1" applyAlignment="1">
      <alignment horizontal="center" vertical="center"/>
    </xf>
    <xf numFmtId="0" fontId="0" fillId="0" borderId="33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14" fontId="11" fillId="2" borderId="0" xfId="3" applyNumberFormat="1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left" vertical="center" wrapText="1"/>
    </xf>
    <xf numFmtId="0" fontId="12" fillId="2" borderId="36" xfId="0" applyFont="1" applyFill="1" applyBorder="1" applyAlignment="1">
      <alignment horizontal="left" vertical="center" wrapText="1"/>
    </xf>
    <xf numFmtId="0" fontId="12" fillId="2" borderId="65" xfId="0" applyFont="1" applyFill="1" applyBorder="1" applyAlignment="1">
      <alignment horizontal="left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57" fillId="0" borderId="74" xfId="3" applyNumberFormat="1" applyFont="1" applyBorder="1" applyAlignment="1">
      <alignment horizontal="center" wrapText="1"/>
    </xf>
    <xf numFmtId="0" fontId="57" fillId="0" borderId="75" xfId="3" applyNumberFormat="1" applyFont="1" applyBorder="1" applyAlignment="1">
      <alignment horizontal="center" wrapText="1"/>
    </xf>
    <xf numFmtId="0" fontId="57" fillId="0" borderId="76" xfId="3" applyNumberFormat="1" applyFont="1" applyBorder="1" applyAlignment="1">
      <alignment horizontal="center" wrapText="1"/>
    </xf>
    <xf numFmtId="0" fontId="12" fillId="0" borderId="26" xfId="3" applyNumberFormat="1" applyFont="1" applyBorder="1" applyAlignment="1">
      <alignment horizontal="left" vertical="center"/>
    </xf>
    <xf numFmtId="0" fontId="12" fillId="0" borderId="27" xfId="3" applyNumberFormat="1" applyFont="1" applyBorder="1" applyAlignment="1">
      <alignment horizontal="left" vertical="center"/>
    </xf>
    <xf numFmtId="0" fontId="12" fillId="0" borderId="28" xfId="3" applyNumberFormat="1" applyFont="1" applyBorder="1" applyAlignment="1">
      <alignment horizontal="left" vertical="center"/>
    </xf>
    <xf numFmtId="0" fontId="33" fillId="0" borderId="45" xfId="0" applyFont="1" applyFill="1" applyBorder="1" applyAlignment="1">
      <alignment horizontal="center" vertical="center"/>
    </xf>
    <xf numFmtId="0" fontId="33" fillId="0" borderId="46" xfId="0" applyFont="1" applyFill="1" applyBorder="1" applyAlignment="1">
      <alignment horizontal="center" vertical="center"/>
    </xf>
    <xf numFmtId="0" fontId="48" fillId="0" borderId="38" xfId="5" applyFont="1" applyFill="1" applyBorder="1" applyAlignment="1">
      <alignment horizontal="center" vertical="center"/>
    </xf>
    <xf numFmtId="0" fontId="48" fillId="0" borderId="70" xfId="5" applyFont="1" applyFill="1" applyBorder="1" applyAlignment="1">
      <alignment horizontal="center" vertical="center"/>
    </xf>
    <xf numFmtId="0" fontId="48" fillId="0" borderId="31" xfId="5" applyFont="1" applyFill="1" applyBorder="1" applyAlignment="1">
      <alignment horizontal="center" vertical="center"/>
    </xf>
    <xf numFmtId="0" fontId="48" fillId="0" borderId="6" xfId="5" applyFont="1" applyFill="1" applyBorder="1" applyAlignment="1">
      <alignment horizontal="center" vertical="center"/>
    </xf>
    <xf numFmtId="0" fontId="49" fillId="7" borderId="26" xfId="5" applyFont="1" applyFill="1" applyBorder="1" applyAlignment="1">
      <alignment horizontal="left" vertical="center"/>
    </xf>
    <xf numFmtId="0" fontId="49" fillId="7" borderId="27" xfId="5" applyFont="1" applyFill="1" applyBorder="1" applyAlignment="1">
      <alignment horizontal="left" vertical="center"/>
    </xf>
    <xf numFmtId="0" fontId="49" fillId="7" borderId="33" xfId="5" applyFont="1" applyFill="1" applyBorder="1" applyAlignment="1">
      <alignment horizontal="left" vertical="center"/>
    </xf>
    <xf numFmtId="0" fontId="49" fillId="7" borderId="61" xfId="5" applyFont="1" applyFill="1" applyBorder="1" applyAlignment="1">
      <alignment horizontal="left" vertical="center"/>
    </xf>
    <xf numFmtId="0" fontId="49" fillId="7" borderId="36" xfId="5" applyFont="1" applyFill="1" applyBorder="1" applyAlignment="1">
      <alignment horizontal="left" vertical="center"/>
    </xf>
    <xf numFmtId="0" fontId="50" fillId="7" borderId="26" xfId="5" applyFont="1" applyFill="1" applyBorder="1" applyAlignment="1">
      <alignment horizontal="left" vertical="center"/>
    </xf>
    <xf numFmtId="0" fontId="50" fillId="7" borderId="27" xfId="5" applyFont="1" applyFill="1" applyBorder="1" applyAlignment="1">
      <alignment horizontal="left" vertical="center"/>
    </xf>
    <xf numFmtId="0" fontId="50" fillId="7" borderId="33" xfId="5" applyFont="1" applyFill="1" applyBorder="1" applyAlignment="1">
      <alignment horizontal="left" vertical="center"/>
    </xf>
    <xf numFmtId="0" fontId="50" fillId="7" borderId="37" xfId="5" applyFont="1" applyFill="1" applyBorder="1" applyAlignment="1">
      <alignment horizontal="left" vertical="center"/>
    </xf>
    <xf numFmtId="0" fontId="50" fillId="7" borderId="28" xfId="5" applyFont="1" applyFill="1" applyBorder="1" applyAlignment="1">
      <alignment horizontal="left" vertical="center"/>
    </xf>
    <xf numFmtId="164" fontId="38" fillId="0" borderId="58" xfId="9" applyNumberFormat="1" applyFont="1" applyBorder="1" applyAlignment="1">
      <alignment horizontal="center" vertical="center" wrapText="1"/>
    </xf>
    <xf numFmtId="164" fontId="38" fillId="0" borderId="28" xfId="9" applyNumberFormat="1" applyFont="1" applyBorder="1" applyAlignment="1">
      <alignment horizontal="center" vertical="center" wrapText="1"/>
    </xf>
    <xf numFmtId="0" fontId="38" fillId="0" borderId="29" xfId="6" applyFont="1" applyFill="1" applyBorder="1" applyAlignment="1">
      <alignment horizontal="center" vertical="center" wrapText="1"/>
    </xf>
    <xf numFmtId="0" fontId="38" fillId="0" borderId="57" xfId="6" applyFont="1" applyFill="1" applyBorder="1" applyAlignment="1">
      <alignment horizontal="center" vertical="center" wrapText="1"/>
    </xf>
    <xf numFmtId="0" fontId="38" fillId="0" borderId="25" xfId="6" applyFont="1" applyFill="1" applyBorder="1" applyAlignment="1">
      <alignment horizontal="left" vertical="center" wrapText="1"/>
    </xf>
    <xf numFmtId="0" fontId="38" fillId="0" borderId="24" xfId="6" applyFont="1" applyFill="1" applyBorder="1" applyAlignment="1">
      <alignment horizontal="left" vertical="center" wrapText="1"/>
    </xf>
    <xf numFmtId="0" fontId="38" fillId="0" borderId="34" xfId="6" applyFont="1" applyFill="1" applyBorder="1" applyAlignment="1">
      <alignment horizontal="center" vertical="center"/>
    </xf>
    <xf numFmtId="0" fontId="38" fillId="0" borderId="51" xfId="6" applyFont="1" applyFill="1" applyBorder="1" applyAlignment="1">
      <alignment horizontal="center" vertical="center"/>
    </xf>
    <xf numFmtId="0" fontId="38" fillId="0" borderId="52" xfId="6" applyFont="1" applyFill="1" applyBorder="1" applyAlignment="1">
      <alignment horizontal="center" vertical="center"/>
    </xf>
    <xf numFmtId="0" fontId="38" fillId="0" borderId="57" xfId="6" applyFont="1" applyFill="1" applyBorder="1" applyAlignment="1">
      <alignment horizontal="center" vertical="center"/>
    </xf>
    <xf numFmtId="0" fontId="38" fillId="0" borderId="26" xfId="6" applyFont="1" applyFill="1" applyBorder="1" applyAlignment="1">
      <alignment horizontal="center" vertical="center"/>
    </xf>
    <xf numFmtId="0" fontId="38" fillId="0" borderId="24" xfId="6" applyFont="1" applyBorder="1" applyAlignment="1">
      <alignment horizontal="center" vertical="center"/>
    </xf>
    <xf numFmtId="0" fontId="38" fillId="0" borderId="27" xfId="6" applyFont="1" applyBorder="1" applyAlignment="1">
      <alignment horizontal="center" vertical="center"/>
    </xf>
    <xf numFmtId="0" fontId="38" fillId="0" borderId="41" xfId="6" applyFont="1" applyBorder="1" applyAlignment="1">
      <alignment horizontal="center" vertical="center"/>
    </xf>
    <xf numFmtId="0" fontId="38" fillId="0" borderId="66" xfId="6" applyFont="1" applyFill="1" applyBorder="1" applyAlignment="1">
      <alignment horizontal="right" vertical="center" wrapText="1"/>
    </xf>
    <xf numFmtId="0" fontId="38" fillId="0" borderId="3" xfId="6" applyFont="1" applyFill="1" applyBorder="1" applyAlignment="1">
      <alignment horizontal="right" vertical="center" wrapText="1"/>
    </xf>
    <xf numFmtId="0" fontId="38" fillId="0" borderId="39" xfId="6" applyFont="1" applyFill="1" applyBorder="1" applyAlignment="1">
      <alignment horizontal="right" vertical="center" wrapText="1"/>
    </xf>
    <xf numFmtId="0" fontId="38" fillId="0" borderId="71" xfId="6" applyFont="1" applyFill="1" applyBorder="1" applyAlignment="1">
      <alignment horizontal="right" vertical="center" wrapText="1"/>
    </xf>
    <xf numFmtId="0" fontId="53" fillId="7" borderId="73" xfId="5" applyFont="1" applyFill="1" applyBorder="1" applyAlignment="1">
      <alignment horizontal="center" vertical="center"/>
    </xf>
    <xf numFmtId="0" fontId="53" fillId="7" borderId="48" xfId="5" applyFont="1" applyFill="1" applyBorder="1" applyAlignment="1">
      <alignment horizontal="center" vertical="center"/>
    </xf>
    <xf numFmtId="0" fontId="53" fillId="7" borderId="49" xfId="5" applyFont="1" applyFill="1" applyBorder="1" applyAlignment="1">
      <alignment horizontal="center" vertical="center"/>
    </xf>
    <xf numFmtId="0" fontId="53" fillId="7" borderId="5" xfId="5" applyFont="1" applyFill="1" applyBorder="1" applyAlignment="1">
      <alignment horizontal="center" vertical="center"/>
    </xf>
    <xf numFmtId="0" fontId="53" fillId="7" borderId="0" xfId="5" applyFont="1" applyFill="1" applyBorder="1" applyAlignment="1">
      <alignment horizontal="center" vertical="center"/>
    </xf>
    <xf numFmtId="0" fontId="53" fillId="7" borderId="50" xfId="5" applyFont="1" applyFill="1" applyBorder="1" applyAlignment="1">
      <alignment horizontal="center" vertical="center"/>
    </xf>
    <xf numFmtId="0" fontId="53" fillId="7" borderId="32" xfId="5" applyFont="1" applyFill="1" applyBorder="1" applyAlignment="1">
      <alignment horizontal="center" vertical="center"/>
    </xf>
    <xf numFmtId="0" fontId="53" fillId="7" borderId="62" xfId="5" applyFont="1" applyFill="1" applyBorder="1" applyAlignment="1">
      <alignment horizontal="center" vertical="center"/>
    </xf>
    <xf numFmtId="0" fontId="53" fillId="7" borderId="63" xfId="5" applyFont="1" applyFill="1" applyBorder="1" applyAlignment="1">
      <alignment horizontal="center" vertical="center"/>
    </xf>
    <xf numFmtId="0" fontId="52" fillId="7" borderId="67" xfId="8" applyFont="1" applyFill="1" applyBorder="1" applyAlignment="1">
      <alignment horizontal="left" vertical="center" wrapText="1"/>
    </xf>
    <xf numFmtId="0" fontId="52" fillId="7" borderId="55" xfId="8" applyFont="1" applyFill="1" applyBorder="1" applyAlignment="1">
      <alignment horizontal="left" vertical="center" wrapText="1"/>
    </xf>
    <xf numFmtId="0" fontId="52" fillId="7" borderId="56" xfId="8" applyFont="1" applyFill="1" applyBorder="1" applyAlignment="1">
      <alignment horizontal="left" vertical="center" wrapText="1"/>
    </xf>
    <xf numFmtId="0" fontId="16" fillId="0" borderId="35" xfId="3" applyNumberFormat="1" applyFont="1" applyBorder="1" applyAlignment="1">
      <alignment horizontal="center" vertical="center" wrapText="1"/>
    </xf>
    <xf numFmtId="0" fontId="20" fillId="0" borderId="35" xfId="3" applyNumberFormat="1" applyFont="1" applyBorder="1" applyAlignment="1">
      <alignment horizontal="left" vertical="center" wrapText="1"/>
    </xf>
    <xf numFmtId="0" fontId="20" fillId="0" borderId="61" xfId="3" applyNumberFormat="1" applyFont="1" applyBorder="1" applyAlignment="1">
      <alignment horizontal="left" vertical="center"/>
    </xf>
    <xf numFmtId="0" fontId="29" fillId="0" borderId="26" xfId="3" applyNumberFormat="1" applyFont="1" applyBorder="1" applyAlignment="1">
      <alignment horizontal="center" vertical="center"/>
    </xf>
    <xf numFmtId="0" fontId="29" fillId="0" borderId="27" xfId="3" applyNumberFormat="1" applyFont="1" applyBorder="1" applyAlignment="1">
      <alignment horizontal="center" vertical="center"/>
    </xf>
    <xf numFmtId="49" fontId="28" fillId="6" borderId="37" xfId="3" applyNumberFormat="1" applyFont="1" applyFill="1" applyBorder="1" applyAlignment="1">
      <alignment horizontal="center" vertical="center"/>
    </xf>
    <xf numFmtId="0" fontId="24" fillId="0" borderId="61" xfId="3" applyNumberFormat="1" applyFont="1" applyBorder="1" applyAlignment="1">
      <alignment horizontal="left" vertical="center"/>
    </xf>
    <xf numFmtId="0" fontId="24" fillId="0" borderId="33" xfId="3" applyNumberFormat="1" applyFont="1" applyBorder="1" applyAlignment="1">
      <alignment horizontal="left" vertical="center"/>
    </xf>
    <xf numFmtId="0" fontId="14" fillId="0" borderId="44" xfId="3" applyNumberFormat="1" applyFont="1" applyBorder="1" applyAlignment="1">
      <alignment horizontal="center" vertical="center" wrapText="1"/>
    </xf>
    <xf numFmtId="0" fontId="14" fillId="0" borderId="42" xfId="3" applyNumberFormat="1" applyFont="1" applyBorder="1" applyAlignment="1">
      <alignment horizontal="center" vertical="center" wrapText="1"/>
    </xf>
    <xf numFmtId="0" fontId="28" fillId="0" borderId="26" xfId="3" applyNumberFormat="1" applyFont="1" applyBorder="1" applyAlignment="1">
      <alignment horizontal="center" vertical="center" wrapText="1"/>
    </xf>
    <xf numFmtId="0" fontId="28" fillId="0" borderId="27" xfId="3" applyNumberFormat="1" applyFont="1" applyBorder="1" applyAlignment="1">
      <alignment horizontal="center" vertical="center" wrapText="1"/>
    </xf>
    <xf numFmtId="0" fontId="28" fillId="0" borderId="28" xfId="3" applyNumberFormat="1" applyFont="1" applyBorder="1" applyAlignment="1">
      <alignment horizontal="center" vertical="center" wrapText="1"/>
    </xf>
    <xf numFmtId="0" fontId="14" fillId="0" borderId="26" xfId="3" applyNumberFormat="1" applyFont="1" applyBorder="1" applyAlignment="1">
      <alignment horizontal="center" vertical="center" wrapText="1"/>
    </xf>
    <xf numFmtId="0" fontId="14" fillId="0" borderId="27" xfId="3" applyNumberFormat="1" applyFont="1" applyBorder="1" applyAlignment="1">
      <alignment horizontal="center" vertical="center" wrapText="1"/>
    </xf>
    <xf numFmtId="0" fontId="14" fillId="0" borderId="28" xfId="3" applyNumberFormat="1" applyFont="1" applyBorder="1" applyAlignment="1">
      <alignment horizontal="center" vertical="center" wrapText="1"/>
    </xf>
    <xf numFmtId="0" fontId="24" fillId="0" borderId="36" xfId="3" applyNumberFormat="1" applyFont="1" applyBorder="1" applyAlignment="1">
      <alignment horizontal="center" vertical="center" wrapText="1"/>
    </xf>
    <xf numFmtId="0" fontId="24" fillId="0" borderId="65" xfId="3" applyNumberFormat="1" applyFont="1" applyBorder="1" applyAlignment="1">
      <alignment horizontal="center" vertical="center" wrapText="1"/>
    </xf>
  </cellXfs>
  <cellStyles count="14">
    <cellStyle name="Excel Built-in Normal" xfId="7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Porcentagem" xfId="2" builtinId="5"/>
    <cellStyle name="Porcentagem 2" xfId="11"/>
    <cellStyle name="Porcentagem 3" xfId="12"/>
    <cellStyle name="Separador de milhares 2" xfId="9"/>
    <cellStyle name="TableStyleLight1" xfId="3"/>
    <cellStyle name="Vírgula" xfId="1" builtin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8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7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6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5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4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674640</xdr:colOff>
      <xdr:row>0</xdr:row>
      <xdr:rowOff>67320</xdr:rowOff>
    </xdr:from>
    <xdr:to>
      <xdr:col>0</xdr:col>
      <xdr:colOff>675135</xdr:colOff>
      <xdr:row>0</xdr:row>
      <xdr:rowOff>619560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74640" y="6732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76200</xdr:rowOff>
    </xdr:from>
    <xdr:to>
      <xdr:col>0</xdr:col>
      <xdr:colOff>1980705</xdr:colOff>
      <xdr:row>0</xdr:row>
      <xdr:rowOff>628440</xdr:rowOff>
    </xdr:to>
    <xdr:pic>
      <xdr:nvPicPr>
        <xdr:cNvPr id="3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2425" y="7620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129533</xdr:colOff>
      <xdr:row>0</xdr:row>
      <xdr:rowOff>44287</xdr:rowOff>
    </xdr:from>
    <xdr:to>
      <xdr:col>6</xdr:col>
      <xdr:colOff>196441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4680" y="44287"/>
          <a:ext cx="1546085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1771649</xdr:colOff>
      <xdr:row>0</xdr:row>
      <xdr:rowOff>38098</xdr:rowOff>
    </xdr:from>
    <xdr:to>
      <xdr:col>5</xdr:col>
      <xdr:colOff>1085850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52824" y="38098"/>
          <a:ext cx="1533526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4482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3</xdr:col>
      <xdr:colOff>1228725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168049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530680</xdr:colOff>
      <xdr:row>0</xdr:row>
      <xdr:rowOff>57149</xdr:rowOff>
    </xdr:from>
    <xdr:to>
      <xdr:col>1</xdr:col>
      <xdr:colOff>1850573</xdr:colOff>
      <xdr:row>3</xdr:row>
      <xdr:rowOff>285749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0680" y="57149"/>
          <a:ext cx="1932214" cy="1167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4482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1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topLeftCell="A22" zoomScaleSheetLayoutView="100" workbookViewId="0">
      <selection activeCell="A10" sqref="A10:D10"/>
    </sheetView>
  </sheetViews>
  <sheetFormatPr defaultRowHeight="12.75" x14ac:dyDescent="0.2"/>
  <cols>
    <col min="1" max="1" width="54.85546875" style="174" customWidth="1"/>
    <col min="2" max="2" width="11.85546875" style="174" customWidth="1"/>
    <col min="3" max="3" width="11.140625" style="174" customWidth="1"/>
    <col min="4" max="4" width="4" style="174" customWidth="1"/>
    <col min="5" max="256" width="9.140625" style="143"/>
    <col min="257" max="257" width="54.85546875" style="143" customWidth="1"/>
    <col min="258" max="258" width="11.85546875" style="143" customWidth="1"/>
    <col min="259" max="259" width="11.140625" style="143" customWidth="1"/>
    <col min="260" max="260" width="4" style="143" customWidth="1"/>
    <col min="261" max="512" width="9.140625" style="143"/>
    <col min="513" max="513" width="54.85546875" style="143" customWidth="1"/>
    <col min="514" max="514" width="11.85546875" style="143" customWidth="1"/>
    <col min="515" max="515" width="11.140625" style="143" customWidth="1"/>
    <col min="516" max="516" width="4" style="143" customWidth="1"/>
    <col min="517" max="768" width="9.140625" style="143"/>
    <col min="769" max="769" width="54.85546875" style="143" customWidth="1"/>
    <col min="770" max="770" width="11.85546875" style="143" customWidth="1"/>
    <col min="771" max="771" width="11.140625" style="143" customWidth="1"/>
    <col min="772" max="772" width="4" style="143" customWidth="1"/>
    <col min="773" max="1024" width="9.140625" style="143"/>
    <col min="1025" max="1025" width="54.85546875" style="143" customWidth="1"/>
    <col min="1026" max="1026" width="11.85546875" style="143" customWidth="1"/>
    <col min="1027" max="1027" width="11.140625" style="143" customWidth="1"/>
    <col min="1028" max="1028" width="4" style="143" customWidth="1"/>
    <col min="1029" max="1280" width="9.140625" style="143"/>
    <col min="1281" max="1281" width="54.85546875" style="143" customWidth="1"/>
    <col min="1282" max="1282" width="11.85546875" style="143" customWidth="1"/>
    <col min="1283" max="1283" width="11.140625" style="143" customWidth="1"/>
    <col min="1284" max="1284" width="4" style="143" customWidth="1"/>
    <col min="1285" max="1536" width="9.140625" style="143"/>
    <col min="1537" max="1537" width="54.85546875" style="143" customWidth="1"/>
    <col min="1538" max="1538" width="11.85546875" style="143" customWidth="1"/>
    <col min="1539" max="1539" width="11.140625" style="143" customWidth="1"/>
    <col min="1540" max="1540" width="4" style="143" customWidth="1"/>
    <col min="1541" max="1792" width="9.140625" style="143"/>
    <col min="1793" max="1793" width="54.85546875" style="143" customWidth="1"/>
    <col min="1794" max="1794" width="11.85546875" style="143" customWidth="1"/>
    <col min="1795" max="1795" width="11.140625" style="143" customWidth="1"/>
    <col min="1796" max="1796" width="4" style="143" customWidth="1"/>
    <col min="1797" max="2048" width="9.140625" style="143"/>
    <col min="2049" max="2049" width="54.85546875" style="143" customWidth="1"/>
    <col min="2050" max="2050" width="11.85546875" style="143" customWidth="1"/>
    <col min="2051" max="2051" width="11.140625" style="143" customWidth="1"/>
    <col min="2052" max="2052" width="4" style="143" customWidth="1"/>
    <col min="2053" max="2304" width="9.140625" style="143"/>
    <col min="2305" max="2305" width="54.85546875" style="143" customWidth="1"/>
    <col min="2306" max="2306" width="11.85546875" style="143" customWidth="1"/>
    <col min="2307" max="2307" width="11.140625" style="143" customWidth="1"/>
    <col min="2308" max="2308" width="4" style="143" customWidth="1"/>
    <col min="2309" max="2560" width="9.140625" style="143"/>
    <col min="2561" max="2561" width="54.85546875" style="143" customWidth="1"/>
    <col min="2562" max="2562" width="11.85546875" style="143" customWidth="1"/>
    <col min="2563" max="2563" width="11.140625" style="143" customWidth="1"/>
    <col min="2564" max="2564" width="4" style="143" customWidth="1"/>
    <col min="2565" max="2816" width="9.140625" style="143"/>
    <col min="2817" max="2817" width="54.85546875" style="143" customWidth="1"/>
    <col min="2818" max="2818" width="11.85546875" style="143" customWidth="1"/>
    <col min="2819" max="2819" width="11.140625" style="143" customWidth="1"/>
    <col min="2820" max="2820" width="4" style="143" customWidth="1"/>
    <col min="2821" max="3072" width="9.140625" style="143"/>
    <col min="3073" max="3073" width="54.85546875" style="143" customWidth="1"/>
    <col min="3074" max="3074" width="11.85546875" style="143" customWidth="1"/>
    <col min="3075" max="3075" width="11.140625" style="143" customWidth="1"/>
    <col min="3076" max="3076" width="4" style="143" customWidth="1"/>
    <col min="3077" max="3328" width="9.140625" style="143"/>
    <col min="3329" max="3329" width="54.85546875" style="143" customWidth="1"/>
    <col min="3330" max="3330" width="11.85546875" style="143" customWidth="1"/>
    <col min="3331" max="3331" width="11.140625" style="143" customWidth="1"/>
    <col min="3332" max="3332" width="4" style="143" customWidth="1"/>
    <col min="3333" max="3584" width="9.140625" style="143"/>
    <col min="3585" max="3585" width="54.85546875" style="143" customWidth="1"/>
    <col min="3586" max="3586" width="11.85546875" style="143" customWidth="1"/>
    <col min="3587" max="3587" width="11.140625" style="143" customWidth="1"/>
    <col min="3588" max="3588" width="4" style="143" customWidth="1"/>
    <col min="3589" max="3840" width="9.140625" style="143"/>
    <col min="3841" max="3841" width="54.85546875" style="143" customWidth="1"/>
    <col min="3842" max="3842" width="11.85546875" style="143" customWidth="1"/>
    <col min="3843" max="3843" width="11.140625" style="143" customWidth="1"/>
    <col min="3844" max="3844" width="4" style="143" customWidth="1"/>
    <col min="3845" max="4096" width="9.140625" style="143"/>
    <col min="4097" max="4097" width="54.85546875" style="143" customWidth="1"/>
    <col min="4098" max="4098" width="11.85546875" style="143" customWidth="1"/>
    <col min="4099" max="4099" width="11.140625" style="143" customWidth="1"/>
    <col min="4100" max="4100" width="4" style="143" customWidth="1"/>
    <col min="4101" max="4352" width="9.140625" style="143"/>
    <col min="4353" max="4353" width="54.85546875" style="143" customWidth="1"/>
    <col min="4354" max="4354" width="11.85546875" style="143" customWidth="1"/>
    <col min="4355" max="4355" width="11.140625" style="143" customWidth="1"/>
    <col min="4356" max="4356" width="4" style="143" customWidth="1"/>
    <col min="4357" max="4608" width="9.140625" style="143"/>
    <col min="4609" max="4609" width="54.85546875" style="143" customWidth="1"/>
    <col min="4610" max="4610" width="11.85546875" style="143" customWidth="1"/>
    <col min="4611" max="4611" width="11.140625" style="143" customWidth="1"/>
    <col min="4612" max="4612" width="4" style="143" customWidth="1"/>
    <col min="4613" max="4864" width="9.140625" style="143"/>
    <col min="4865" max="4865" width="54.85546875" style="143" customWidth="1"/>
    <col min="4866" max="4866" width="11.85546875" style="143" customWidth="1"/>
    <col min="4867" max="4867" width="11.140625" style="143" customWidth="1"/>
    <col min="4868" max="4868" width="4" style="143" customWidth="1"/>
    <col min="4869" max="5120" width="9.140625" style="143"/>
    <col min="5121" max="5121" width="54.85546875" style="143" customWidth="1"/>
    <col min="5122" max="5122" width="11.85546875" style="143" customWidth="1"/>
    <col min="5123" max="5123" width="11.140625" style="143" customWidth="1"/>
    <col min="5124" max="5124" width="4" style="143" customWidth="1"/>
    <col min="5125" max="5376" width="9.140625" style="143"/>
    <col min="5377" max="5377" width="54.85546875" style="143" customWidth="1"/>
    <col min="5378" max="5378" width="11.85546875" style="143" customWidth="1"/>
    <col min="5379" max="5379" width="11.140625" style="143" customWidth="1"/>
    <col min="5380" max="5380" width="4" style="143" customWidth="1"/>
    <col min="5381" max="5632" width="9.140625" style="143"/>
    <col min="5633" max="5633" width="54.85546875" style="143" customWidth="1"/>
    <col min="5634" max="5634" width="11.85546875" style="143" customWidth="1"/>
    <col min="5635" max="5635" width="11.140625" style="143" customWidth="1"/>
    <col min="5636" max="5636" width="4" style="143" customWidth="1"/>
    <col min="5637" max="5888" width="9.140625" style="143"/>
    <col min="5889" max="5889" width="54.85546875" style="143" customWidth="1"/>
    <col min="5890" max="5890" width="11.85546875" style="143" customWidth="1"/>
    <col min="5891" max="5891" width="11.140625" style="143" customWidth="1"/>
    <col min="5892" max="5892" width="4" style="143" customWidth="1"/>
    <col min="5893" max="6144" width="9.140625" style="143"/>
    <col min="6145" max="6145" width="54.85546875" style="143" customWidth="1"/>
    <col min="6146" max="6146" width="11.85546875" style="143" customWidth="1"/>
    <col min="6147" max="6147" width="11.140625" style="143" customWidth="1"/>
    <col min="6148" max="6148" width="4" style="143" customWidth="1"/>
    <col min="6149" max="6400" width="9.140625" style="143"/>
    <col min="6401" max="6401" width="54.85546875" style="143" customWidth="1"/>
    <col min="6402" max="6402" width="11.85546875" style="143" customWidth="1"/>
    <col min="6403" max="6403" width="11.140625" style="143" customWidth="1"/>
    <col min="6404" max="6404" width="4" style="143" customWidth="1"/>
    <col min="6405" max="6656" width="9.140625" style="143"/>
    <col min="6657" max="6657" width="54.85546875" style="143" customWidth="1"/>
    <col min="6658" max="6658" width="11.85546875" style="143" customWidth="1"/>
    <col min="6659" max="6659" width="11.140625" style="143" customWidth="1"/>
    <col min="6660" max="6660" width="4" style="143" customWidth="1"/>
    <col min="6661" max="6912" width="9.140625" style="143"/>
    <col min="6913" max="6913" width="54.85546875" style="143" customWidth="1"/>
    <col min="6914" max="6914" width="11.85546875" style="143" customWidth="1"/>
    <col min="6915" max="6915" width="11.140625" style="143" customWidth="1"/>
    <col min="6916" max="6916" width="4" style="143" customWidth="1"/>
    <col min="6917" max="7168" width="9.140625" style="143"/>
    <col min="7169" max="7169" width="54.85546875" style="143" customWidth="1"/>
    <col min="7170" max="7170" width="11.85546875" style="143" customWidth="1"/>
    <col min="7171" max="7171" width="11.140625" style="143" customWidth="1"/>
    <col min="7172" max="7172" width="4" style="143" customWidth="1"/>
    <col min="7173" max="7424" width="9.140625" style="143"/>
    <col min="7425" max="7425" width="54.85546875" style="143" customWidth="1"/>
    <col min="7426" max="7426" width="11.85546875" style="143" customWidth="1"/>
    <col min="7427" max="7427" width="11.140625" style="143" customWidth="1"/>
    <col min="7428" max="7428" width="4" style="143" customWidth="1"/>
    <col min="7429" max="7680" width="9.140625" style="143"/>
    <col min="7681" max="7681" width="54.85546875" style="143" customWidth="1"/>
    <col min="7682" max="7682" width="11.85546875" style="143" customWidth="1"/>
    <col min="7683" max="7683" width="11.140625" style="143" customWidth="1"/>
    <col min="7684" max="7684" width="4" style="143" customWidth="1"/>
    <col min="7685" max="7936" width="9.140625" style="143"/>
    <col min="7937" max="7937" width="54.85546875" style="143" customWidth="1"/>
    <col min="7938" max="7938" width="11.85546875" style="143" customWidth="1"/>
    <col min="7939" max="7939" width="11.140625" style="143" customWidth="1"/>
    <col min="7940" max="7940" width="4" style="143" customWidth="1"/>
    <col min="7941" max="8192" width="9.140625" style="143"/>
    <col min="8193" max="8193" width="54.85546875" style="143" customWidth="1"/>
    <col min="8194" max="8194" width="11.85546875" style="143" customWidth="1"/>
    <col min="8195" max="8195" width="11.140625" style="143" customWidth="1"/>
    <col min="8196" max="8196" width="4" style="143" customWidth="1"/>
    <col min="8197" max="8448" width="9.140625" style="143"/>
    <col min="8449" max="8449" width="54.85546875" style="143" customWidth="1"/>
    <col min="8450" max="8450" width="11.85546875" style="143" customWidth="1"/>
    <col min="8451" max="8451" width="11.140625" style="143" customWidth="1"/>
    <col min="8452" max="8452" width="4" style="143" customWidth="1"/>
    <col min="8453" max="8704" width="9.140625" style="143"/>
    <col min="8705" max="8705" width="54.85546875" style="143" customWidth="1"/>
    <col min="8706" max="8706" width="11.85546875" style="143" customWidth="1"/>
    <col min="8707" max="8707" width="11.140625" style="143" customWidth="1"/>
    <col min="8708" max="8708" width="4" style="143" customWidth="1"/>
    <col min="8709" max="8960" width="9.140625" style="143"/>
    <col min="8961" max="8961" width="54.85546875" style="143" customWidth="1"/>
    <col min="8962" max="8962" width="11.85546875" style="143" customWidth="1"/>
    <col min="8963" max="8963" width="11.140625" style="143" customWidth="1"/>
    <col min="8964" max="8964" width="4" style="143" customWidth="1"/>
    <col min="8965" max="9216" width="9.140625" style="143"/>
    <col min="9217" max="9217" width="54.85546875" style="143" customWidth="1"/>
    <col min="9218" max="9218" width="11.85546875" style="143" customWidth="1"/>
    <col min="9219" max="9219" width="11.140625" style="143" customWidth="1"/>
    <col min="9220" max="9220" width="4" style="143" customWidth="1"/>
    <col min="9221" max="9472" width="9.140625" style="143"/>
    <col min="9473" max="9473" width="54.85546875" style="143" customWidth="1"/>
    <col min="9474" max="9474" width="11.85546875" style="143" customWidth="1"/>
    <col min="9475" max="9475" width="11.140625" style="143" customWidth="1"/>
    <col min="9476" max="9476" width="4" style="143" customWidth="1"/>
    <col min="9477" max="9728" width="9.140625" style="143"/>
    <col min="9729" max="9729" width="54.85546875" style="143" customWidth="1"/>
    <col min="9730" max="9730" width="11.85546875" style="143" customWidth="1"/>
    <col min="9731" max="9731" width="11.140625" style="143" customWidth="1"/>
    <col min="9732" max="9732" width="4" style="143" customWidth="1"/>
    <col min="9733" max="9984" width="9.140625" style="143"/>
    <col min="9985" max="9985" width="54.85546875" style="143" customWidth="1"/>
    <col min="9986" max="9986" width="11.85546875" style="143" customWidth="1"/>
    <col min="9987" max="9987" width="11.140625" style="143" customWidth="1"/>
    <col min="9988" max="9988" width="4" style="143" customWidth="1"/>
    <col min="9989" max="10240" width="9.140625" style="143"/>
    <col min="10241" max="10241" width="54.85546875" style="143" customWidth="1"/>
    <col min="10242" max="10242" width="11.85546875" style="143" customWidth="1"/>
    <col min="10243" max="10243" width="11.140625" style="143" customWidth="1"/>
    <col min="10244" max="10244" width="4" style="143" customWidth="1"/>
    <col min="10245" max="10496" width="9.140625" style="143"/>
    <col min="10497" max="10497" width="54.85546875" style="143" customWidth="1"/>
    <col min="10498" max="10498" width="11.85546875" style="143" customWidth="1"/>
    <col min="10499" max="10499" width="11.140625" style="143" customWidth="1"/>
    <col min="10500" max="10500" width="4" style="143" customWidth="1"/>
    <col min="10501" max="10752" width="9.140625" style="143"/>
    <col min="10753" max="10753" width="54.85546875" style="143" customWidth="1"/>
    <col min="10754" max="10754" width="11.85546875" style="143" customWidth="1"/>
    <col min="10755" max="10755" width="11.140625" style="143" customWidth="1"/>
    <col min="10756" max="10756" width="4" style="143" customWidth="1"/>
    <col min="10757" max="11008" width="9.140625" style="143"/>
    <col min="11009" max="11009" width="54.85546875" style="143" customWidth="1"/>
    <col min="11010" max="11010" width="11.85546875" style="143" customWidth="1"/>
    <col min="11011" max="11011" width="11.140625" style="143" customWidth="1"/>
    <col min="11012" max="11012" width="4" style="143" customWidth="1"/>
    <col min="11013" max="11264" width="9.140625" style="143"/>
    <col min="11265" max="11265" width="54.85546875" style="143" customWidth="1"/>
    <col min="11266" max="11266" width="11.85546875" style="143" customWidth="1"/>
    <col min="11267" max="11267" width="11.140625" style="143" customWidth="1"/>
    <col min="11268" max="11268" width="4" style="143" customWidth="1"/>
    <col min="11269" max="11520" width="9.140625" style="143"/>
    <col min="11521" max="11521" width="54.85546875" style="143" customWidth="1"/>
    <col min="11522" max="11522" width="11.85546875" style="143" customWidth="1"/>
    <col min="11523" max="11523" width="11.140625" style="143" customWidth="1"/>
    <col min="11524" max="11524" width="4" style="143" customWidth="1"/>
    <col min="11525" max="11776" width="9.140625" style="143"/>
    <col min="11777" max="11777" width="54.85546875" style="143" customWidth="1"/>
    <col min="11778" max="11778" width="11.85546875" style="143" customWidth="1"/>
    <col min="11779" max="11779" width="11.140625" style="143" customWidth="1"/>
    <col min="11780" max="11780" width="4" style="143" customWidth="1"/>
    <col min="11781" max="12032" width="9.140625" style="143"/>
    <col min="12033" max="12033" width="54.85546875" style="143" customWidth="1"/>
    <col min="12034" max="12034" width="11.85546875" style="143" customWidth="1"/>
    <col min="12035" max="12035" width="11.140625" style="143" customWidth="1"/>
    <col min="12036" max="12036" width="4" style="143" customWidth="1"/>
    <col min="12037" max="12288" width="9.140625" style="143"/>
    <col min="12289" max="12289" width="54.85546875" style="143" customWidth="1"/>
    <col min="12290" max="12290" width="11.85546875" style="143" customWidth="1"/>
    <col min="12291" max="12291" width="11.140625" style="143" customWidth="1"/>
    <col min="12292" max="12292" width="4" style="143" customWidth="1"/>
    <col min="12293" max="12544" width="9.140625" style="143"/>
    <col min="12545" max="12545" width="54.85546875" style="143" customWidth="1"/>
    <col min="12546" max="12546" width="11.85546875" style="143" customWidth="1"/>
    <col min="12547" max="12547" width="11.140625" style="143" customWidth="1"/>
    <col min="12548" max="12548" width="4" style="143" customWidth="1"/>
    <col min="12549" max="12800" width="9.140625" style="143"/>
    <col min="12801" max="12801" width="54.85546875" style="143" customWidth="1"/>
    <col min="12802" max="12802" width="11.85546875" style="143" customWidth="1"/>
    <col min="12803" max="12803" width="11.140625" style="143" customWidth="1"/>
    <col min="12804" max="12804" width="4" style="143" customWidth="1"/>
    <col min="12805" max="13056" width="9.140625" style="143"/>
    <col min="13057" max="13057" width="54.85546875" style="143" customWidth="1"/>
    <col min="13058" max="13058" width="11.85546875" style="143" customWidth="1"/>
    <col min="13059" max="13059" width="11.140625" style="143" customWidth="1"/>
    <col min="13060" max="13060" width="4" style="143" customWidth="1"/>
    <col min="13061" max="13312" width="9.140625" style="143"/>
    <col min="13313" max="13313" width="54.85546875" style="143" customWidth="1"/>
    <col min="13314" max="13314" width="11.85546875" style="143" customWidth="1"/>
    <col min="13315" max="13315" width="11.140625" style="143" customWidth="1"/>
    <col min="13316" max="13316" width="4" style="143" customWidth="1"/>
    <col min="13317" max="13568" width="9.140625" style="143"/>
    <col min="13569" max="13569" width="54.85546875" style="143" customWidth="1"/>
    <col min="13570" max="13570" width="11.85546875" style="143" customWidth="1"/>
    <col min="13571" max="13571" width="11.140625" style="143" customWidth="1"/>
    <col min="13572" max="13572" width="4" style="143" customWidth="1"/>
    <col min="13573" max="13824" width="9.140625" style="143"/>
    <col min="13825" max="13825" width="54.85546875" style="143" customWidth="1"/>
    <col min="13826" max="13826" width="11.85546875" style="143" customWidth="1"/>
    <col min="13827" max="13827" width="11.140625" style="143" customWidth="1"/>
    <col min="13828" max="13828" width="4" style="143" customWidth="1"/>
    <col min="13829" max="14080" width="9.140625" style="143"/>
    <col min="14081" max="14081" width="54.85546875" style="143" customWidth="1"/>
    <col min="14082" max="14082" width="11.85546875" style="143" customWidth="1"/>
    <col min="14083" max="14083" width="11.140625" style="143" customWidth="1"/>
    <col min="14084" max="14084" width="4" style="143" customWidth="1"/>
    <col min="14085" max="14336" width="9.140625" style="143"/>
    <col min="14337" max="14337" width="54.85546875" style="143" customWidth="1"/>
    <col min="14338" max="14338" width="11.85546875" style="143" customWidth="1"/>
    <col min="14339" max="14339" width="11.140625" style="143" customWidth="1"/>
    <col min="14340" max="14340" width="4" style="143" customWidth="1"/>
    <col min="14341" max="14592" width="9.140625" style="143"/>
    <col min="14593" max="14593" width="54.85546875" style="143" customWidth="1"/>
    <col min="14594" max="14594" width="11.85546875" style="143" customWidth="1"/>
    <col min="14595" max="14595" width="11.140625" style="143" customWidth="1"/>
    <col min="14596" max="14596" width="4" style="143" customWidth="1"/>
    <col min="14597" max="14848" width="9.140625" style="143"/>
    <col min="14849" max="14849" width="54.85546875" style="143" customWidth="1"/>
    <col min="14850" max="14850" width="11.85546875" style="143" customWidth="1"/>
    <col min="14851" max="14851" width="11.140625" style="143" customWidth="1"/>
    <col min="14852" max="14852" width="4" style="143" customWidth="1"/>
    <col min="14853" max="15104" width="9.140625" style="143"/>
    <col min="15105" max="15105" width="54.85546875" style="143" customWidth="1"/>
    <col min="15106" max="15106" width="11.85546875" style="143" customWidth="1"/>
    <col min="15107" max="15107" width="11.140625" style="143" customWidth="1"/>
    <col min="15108" max="15108" width="4" style="143" customWidth="1"/>
    <col min="15109" max="15360" width="9.140625" style="143"/>
    <col min="15361" max="15361" width="54.85546875" style="143" customWidth="1"/>
    <col min="15362" max="15362" width="11.85546875" style="143" customWidth="1"/>
    <col min="15363" max="15363" width="11.140625" style="143" customWidth="1"/>
    <col min="15364" max="15364" width="4" style="143" customWidth="1"/>
    <col min="15365" max="15616" width="9.140625" style="143"/>
    <col min="15617" max="15617" width="54.85546875" style="143" customWidth="1"/>
    <col min="15618" max="15618" width="11.85546875" style="143" customWidth="1"/>
    <col min="15619" max="15619" width="11.140625" style="143" customWidth="1"/>
    <col min="15620" max="15620" width="4" style="143" customWidth="1"/>
    <col min="15621" max="15872" width="9.140625" style="143"/>
    <col min="15873" max="15873" width="54.85546875" style="143" customWidth="1"/>
    <col min="15874" max="15874" width="11.85546875" style="143" customWidth="1"/>
    <col min="15875" max="15875" width="11.140625" style="143" customWidth="1"/>
    <col min="15876" max="15876" width="4" style="143" customWidth="1"/>
    <col min="15877" max="16128" width="9.140625" style="143"/>
    <col min="16129" max="16129" width="54.85546875" style="143" customWidth="1"/>
    <col min="16130" max="16130" width="11.85546875" style="143" customWidth="1"/>
    <col min="16131" max="16131" width="11.140625" style="143" customWidth="1"/>
    <col min="16132" max="16132" width="4" style="143" customWidth="1"/>
    <col min="16133" max="16384" width="9.140625" style="143"/>
  </cols>
  <sheetData>
    <row r="1" spans="1:9" x14ac:dyDescent="0.2">
      <c r="A1" s="372" t="s">
        <v>463</v>
      </c>
      <c r="B1" s="373"/>
      <c r="C1" s="373"/>
      <c r="D1" s="374"/>
    </row>
    <row r="2" spans="1:9" x14ac:dyDescent="0.2">
      <c r="A2" s="375"/>
      <c r="B2" s="376"/>
      <c r="C2" s="376"/>
      <c r="D2" s="377"/>
    </row>
    <row r="3" spans="1:9" x14ac:dyDescent="0.2">
      <c r="A3" s="375"/>
      <c r="B3" s="376"/>
      <c r="C3" s="376"/>
      <c r="D3" s="377"/>
    </row>
    <row r="4" spans="1:9" x14ac:dyDescent="0.2">
      <c r="A4" s="375"/>
      <c r="B4" s="376"/>
      <c r="C4" s="376"/>
      <c r="D4" s="377"/>
    </row>
    <row r="5" spans="1:9" x14ac:dyDescent="0.2">
      <c r="A5" s="375"/>
      <c r="B5" s="376"/>
      <c r="C5" s="376"/>
      <c r="D5" s="377"/>
    </row>
    <row r="6" spans="1:9" ht="13.5" thickBot="1" x14ac:dyDescent="0.25">
      <c r="A6" s="378"/>
      <c r="B6" s="379"/>
      <c r="C6" s="379"/>
      <c r="D6" s="380"/>
    </row>
    <row r="7" spans="1:9" ht="25.5" customHeight="1" thickBot="1" x14ac:dyDescent="0.3">
      <c r="A7" s="381" t="s">
        <v>464</v>
      </c>
      <c r="B7" s="382"/>
      <c r="C7" s="382"/>
      <c r="D7" s="383"/>
      <c r="E7" s="144"/>
    </row>
    <row r="8" spans="1:9" ht="9.75" customHeight="1" thickBot="1" x14ac:dyDescent="0.3">
      <c r="A8" s="369"/>
      <c r="B8" s="370"/>
      <c r="C8" s="370"/>
      <c r="D8" s="371"/>
      <c r="E8" s="144"/>
    </row>
    <row r="9" spans="1:9" ht="15.75" x14ac:dyDescent="0.25">
      <c r="A9" s="384" t="s">
        <v>571</v>
      </c>
      <c r="B9" s="385"/>
      <c r="C9" s="385"/>
      <c r="D9" s="386"/>
      <c r="E9" s="144"/>
    </row>
    <row r="10" spans="1:9" ht="16.5" thickBot="1" x14ac:dyDescent="0.3">
      <c r="A10" s="384" t="s">
        <v>572</v>
      </c>
      <c r="B10" s="385"/>
      <c r="C10" s="385"/>
      <c r="D10" s="386"/>
      <c r="E10" s="144"/>
    </row>
    <row r="11" spans="1:9" ht="9.75" customHeight="1" thickBot="1" x14ac:dyDescent="0.3">
      <c r="A11" s="369"/>
      <c r="B11" s="370"/>
      <c r="C11" s="370"/>
      <c r="D11" s="371"/>
      <c r="E11" s="144"/>
    </row>
    <row r="12" spans="1:9" x14ac:dyDescent="0.2">
      <c r="A12" s="145"/>
      <c r="B12" s="146"/>
      <c r="C12" s="146"/>
      <c r="D12" s="147"/>
    </row>
    <row r="13" spans="1:9" ht="15" x14ac:dyDescent="0.2">
      <c r="A13" s="148" t="s">
        <v>465</v>
      </c>
      <c r="B13" s="149"/>
      <c r="C13" s="149"/>
      <c r="D13" s="150"/>
      <c r="E13" s="151"/>
      <c r="F13" s="151"/>
      <c r="G13" s="151"/>
      <c r="H13" s="151"/>
      <c r="I13" s="151"/>
    </row>
    <row r="14" spans="1:9" x14ac:dyDescent="0.2">
      <c r="A14" s="318"/>
      <c r="B14" s="319"/>
      <c r="C14" s="319"/>
      <c r="D14" s="320"/>
      <c r="E14" s="152"/>
      <c r="F14" s="152"/>
      <c r="G14" s="152"/>
      <c r="H14" s="152"/>
      <c r="I14" s="152"/>
    </row>
    <row r="15" spans="1:9" ht="15.75" x14ac:dyDescent="0.25">
      <c r="A15" s="153" t="s">
        <v>466</v>
      </c>
      <c r="B15" s="154"/>
      <c r="C15" s="154"/>
      <c r="D15" s="147"/>
    </row>
    <row r="16" spans="1:9" ht="15.75" x14ac:dyDescent="0.25">
      <c r="A16" s="153"/>
      <c r="B16" s="154"/>
      <c r="C16" s="154"/>
      <c r="D16" s="147"/>
    </row>
    <row r="17" spans="1:4" ht="15" x14ac:dyDescent="0.2">
      <c r="A17" s="155" t="s">
        <v>467</v>
      </c>
      <c r="B17" s="156">
        <v>3.5</v>
      </c>
      <c r="C17" s="157" t="s">
        <v>1</v>
      </c>
      <c r="D17" s="147"/>
    </row>
    <row r="18" spans="1:4" ht="15" x14ac:dyDescent="0.2">
      <c r="A18" s="155" t="s">
        <v>468</v>
      </c>
      <c r="B18" s="156">
        <v>0.5</v>
      </c>
      <c r="C18" s="157" t="s">
        <v>1</v>
      </c>
      <c r="D18" s="147"/>
    </row>
    <row r="19" spans="1:4" ht="15" x14ac:dyDescent="0.2">
      <c r="A19" s="155" t="s">
        <v>469</v>
      </c>
      <c r="B19" s="156">
        <v>0.6</v>
      </c>
      <c r="C19" s="157" t="s">
        <v>1</v>
      </c>
      <c r="D19" s="147"/>
    </row>
    <row r="20" spans="1:4" ht="15" x14ac:dyDescent="0.2">
      <c r="A20" s="155" t="s">
        <v>470</v>
      </c>
      <c r="B20" s="156">
        <v>0.42</v>
      </c>
      <c r="C20" s="157" t="s">
        <v>1</v>
      </c>
      <c r="D20" s="147"/>
    </row>
    <row r="21" spans="1:4" ht="15" x14ac:dyDescent="0.2">
      <c r="A21" s="155" t="s">
        <v>471</v>
      </c>
      <c r="B21" s="156">
        <v>7</v>
      </c>
      <c r="C21" s="157" t="s">
        <v>1</v>
      </c>
      <c r="D21" s="147"/>
    </row>
    <row r="22" spans="1:4" ht="15" x14ac:dyDescent="0.2">
      <c r="A22" s="158" t="s">
        <v>472</v>
      </c>
      <c r="B22" s="159">
        <f>SUM(B17:B21)</f>
        <v>12.02</v>
      </c>
      <c r="C22" s="160" t="s">
        <v>1</v>
      </c>
      <c r="D22" s="147"/>
    </row>
    <row r="23" spans="1:4" x14ac:dyDescent="0.2">
      <c r="A23" s="145"/>
      <c r="B23" s="146"/>
      <c r="C23" s="146"/>
      <c r="D23" s="147"/>
    </row>
    <row r="24" spans="1:4" ht="15.75" x14ac:dyDescent="0.25">
      <c r="A24" s="153" t="s">
        <v>473</v>
      </c>
      <c r="B24" s="146"/>
      <c r="C24" s="146"/>
      <c r="D24" s="147"/>
    </row>
    <row r="25" spans="1:4" ht="15.75" x14ac:dyDescent="0.25">
      <c r="A25" s="153"/>
      <c r="B25" s="146"/>
      <c r="C25" s="146"/>
      <c r="D25" s="147"/>
    </row>
    <row r="26" spans="1:4" ht="15" x14ac:dyDescent="0.2">
      <c r="A26" s="161" t="s">
        <v>474</v>
      </c>
      <c r="B26" s="162">
        <f>B27+B28+B29+B30</f>
        <v>9.65</v>
      </c>
      <c r="C26" s="163" t="s">
        <v>1</v>
      </c>
      <c r="D26" s="147"/>
    </row>
    <row r="27" spans="1:4" ht="15" x14ac:dyDescent="0.2">
      <c r="A27" s="164" t="s">
        <v>475</v>
      </c>
      <c r="B27" s="165">
        <v>4</v>
      </c>
      <c r="C27" s="163" t="s">
        <v>1</v>
      </c>
      <c r="D27" s="147"/>
    </row>
    <row r="28" spans="1:4" ht="15" x14ac:dyDescent="0.2">
      <c r="A28" s="166" t="s">
        <v>476</v>
      </c>
      <c r="B28" s="165">
        <v>3</v>
      </c>
      <c r="C28" s="163" t="s">
        <v>1</v>
      </c>
      <c r="D28" s="147"/>
    </row>
    <row r="29" spans="1:4" ht="15" x14ac:dyDescent="0.2">
      <c r="A29" s="166" t="s">
        <v>477</v>
      </c>
      <c r="B29" s="165">
        <v>0.65</v>
      </c>
      <c r="C29" s="163" t="s">
        <v>1</v>
      </c>
      <c r="D29" s="147"/>
    </row>
    <row r="30" spans="1:4" ht="15" x14ac:dyDescent="0.2">
      <c r="A30" s="166" t="s">
        <v>478</v>
      </c>
      <c r="B30" s="165">
        <v>2</v>
      </c>
      <c r="C30" s="163" t="s">
        <v>1</v>
      </c>
      <c r="D30" s="147"/>
    </row>
    <row r="31" spans="1:4" ht="15" x14ac:dyDescent="0.2">
      <c r="A31" s="158" t="s">
        <v>479</v>
      </c>
      <c r="B31" s="167">
        <f>B26</f>
        <v>9.65</v>
      </c>
      <c r="C31" s="160" t="s">
        <v>1</v>
      </c>
      <c r="D31" s="147"/>
    </row>
    <row r="32" spans="1:4" x14ac:dyDescent="0.2">
      <c r="A32" s="145"/>
      <c r="B32" s="146"/>
      <c r="C32" s="146"/>
      <c r="D32" s="147"/>
    </row>
    <row r="33" spans="1:6" x14ac:dyDescent="0.2">
      <c r="A33" s="145"/>
      <c r="B33" s="146"/>
      <c r="C33" s="146"/>
      <c r="D33" s="147"/>
    </row>
    <row r="34" spans="1:6" x14ac:dyDescent="0.2">
      <c r="A34" s="145"/>
      <c r="B34" s="146"/>
      <c r="C34" s="146"/>
      <c r="D34" s="147"/>
    </row>
    <row r="35" spans="1:6" ht="15.75" x14ac:dyDescent="0.25">
      <c r="A35" s="153" t="s">
        <v>480</v>
      </c>
      <c r="B35" s="146"/>
      <c r="C35" s="146"/>
      <c r="D35" s="147"/>
    </row>
    <row r="36" spans="1:6" x14ac:dyDescent="0.2">
      <c r="A36" s="145"/>
      <c r="B36" s="146"/>
      <c r="C36" s="146"/>
      <c r="D36" s="147"/>
    </row>
    <row r="37" spans="1:6" x14ac:dyDescent="0.2">
      <c r="A37" s="145"/>
      <c r="B37" s="146"/>
      <c r="C37" s="146"/>
      <c r="D37" s="147"/>
    </row>
    <row r="38" spans="1:6" x14ac:dyDescent="0.2">
      <c r="A38" s="322" t="s">
        <v>505</v>
      </c>
      <c r="B38" s="258">
        <f>ROUND((((1+($B$17/100)+($B$20/100)+($B$19/100))*(1+($B$18/100))*(1+($B$21/100)))/(1-$B$26/100)-1),4)</f>
        <v>0.24399999999999999</v>
      </c>
      <c r="C38" s="146"/>
      <c r="D38" s="147"/>
    </row>
    <row r="39" spans="1:6" ht="15.75" x14ac:dyDescent="0.2">
      <c r="A39" s="322" t="s">
        <v>506</v>
      </c>
      <c r="B39" s="167"/>
      <c r="C39" s="168"/>
      <c r="D39" s="169"/>
    </row>
    <row r="40" spans="1:6" x14ac:dyDescent="0.2">
      <c r="A40" s="145"/>
      <c r="B40" s="146"/>
      <c r="C40" s="146"/>
      <c r="D40" s="147"/>
      <c r="F40" s="143" t="s">
        <v>481</v>
      </c>
    </row>
    <row r="41" spans="1:6" x14ac:dyDescent="0.2">
      <c r="A41" s="145"/>
      <c r="B41" s="146"/>
      <c r="C41" s="146"/>
      <c r="D41" s="147"/>
    </row>
    <row r="42" spans="1:6" x14ac:dyDescent="0.2">
      <c r="A42" s="145"/>
      <c r="B42" s="146"/>
      <c r="C42" s="146"/>
      <c r="D42" s="147"/>
    </row>
    <row r="43" spans="1:6" ht="99.75" x14ac:dyDescent="0.2">
      <c r="A43" s="170" t="s">
        <v>482</v>
      </c>
      <c r="B43" s="146"/>
      <c r="C43" s="146"/>
      <c r="D43" s="147"/>
    </row>
    <row r="44" spans="1:6" x14ac:dyDescent="0.2">
      <c r="A44" s="145"/>
      <c r="B44" s="146"/>
      <c r="C44" s="146"/>
      <c r="D44" s="147"/>
    </row>
    <row r="45" spans="1:6" ht="13.5" thickBot="1" x14ac:dyDescent="0.25">
      <c r="A45" s="171"/>
      <c r="B45" s="172"/>
      <c r="C45" s="172"/>
      <c r="D45" s="173"/>
    </row>
    <row r="46" spans="1:6" x14ac:dyDescent="0.2">
      <c r="A46" s="387" t="s">
        <v>72</v>
      </c>
      <c r="B46" s="388"/>
      <c r="C46" s="388"/>
      <c r="D46" s="389"/>
    </row>
    <row r="47" spans="1:6" x14ac:dyDescent="0.2">
      <c r="A47" s="390" t="s">
        <v>73</v>
      </c>
      <c r="B47" s="391"/>
      <c r="C47" s="391"/>
      <c r="D47" s="392"/>
    </row>
    <row r="48" spans="1:6" x14ac:dyDescent="0.2">
      <c r="A48" s="390" t="s">
        <v>74</v>
      </c>
      <c r="B48" s="391"/>
      <c r="C48" s="391"/>
      <c r="D48" s="392"/>
    </row>
    <row r="49" spans="1:4" x14ac:dyDescent="0.2">
      <c r="A49" s="145"/>
      <c r="B49" s="146"/>
      <c r="C49" s="146"/>
      <c r="D49" s="147"/>
    </row>
    <row r="50" spans="1:4" x14ac:dyDescent="0.2">
      <c r="A50" s="393" t="s">
        <v>75</v>
      </c>
      <c r="B50" s="394"/>
      <c r="C50" s="394"/>
      <c r="D50" s="395"/>
    </row>
    <row r="51" spans="1:4" ht="13.5" thickBot="1" x14ac:dyDescent="0.25">
      <c r="A51" s="396" t="s">
        <v>76</v>
      </c>
      <c r="B51" s="397"/>
      <c r="C51" s="397"/>
      <c r="D51" s="398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229</v>
      </c>
      <c r="B2" s="35" t="s">
        <v>240</v>
      </c>
      <c r="C2" s="579" t="s">
        <v>242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683</v>
      </c>
      <c r="B11" s="53" t="s">
        <v>379</v>
      </c>
      <c r="C11" s="357" t="s">
        <v>684</v>
      </c>
      <c r="D11" s="55">
        <v>1</v>
      </c>
      <c r="E11" s="55">
        <v>1</v>
      </c>
      <c r="F11" s="56">
        <v>99.93</v>
      </c>
      <c r="G11" s="55">
        <v>0</v>
      </c>
      <c r="H11" s="56">
        <f>F11</f>
        <v>99.93</v>
      </c>
      <c r="I11" s="72">
        <f>D11*H11</f>
        <v>99.93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99.93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99.93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104.2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104.2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D7" sqref="D7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238</v>
      </c>
      <c r="B2" s="35" t="s">
        <v>252</v>
      </c>
      <c r="C2" s="579" t="s">
        <v>254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412</v>
      </c>
      <c r="B11" s="53" t="s">
        <v>379</v>
      </c>
      <c r="C11" s="53" t="s">
        <v>664</v>
      </c>
      <c r="D11" s="55">
        <v>1</v>
      </c>
      <c r="E11" s="55">
        <v>1</v>
      </c>
      <c r="F11" s="56">
        <v>106.13</v>
      </c>
      <c r="G11" s="55">
        <v>0</v>
      </c>
      <c r="H11" s="56">
        <v>106.13</v>
      </c>
      <c r="I11" s="72">
        <f>D11*H11</f>
        <v>106.13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106.13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106.13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148.82999999999998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148.82999999999998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ageMargins left="0.51180555555555496" right="0.51180555555555496" top="0.78749999999999998" bottom="0.78749999999999998" header="0.51180555555555496" footer="0.51180555555555496"/>
  <pageSetup paperSize="9" scale="93" firstPageNumber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241</v>
      </c>
      <c r="B2" s="35" t="s">
        <v>255</v>
      </c>
      <c r="C2" s="579" t="s">
        <v>257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84" x14ac:dyDescent="0.25">
      <c r="A11" s="71" t="s">
        <v>410</v>
      </c>
      <c r="B11" s="53" t="s">
        <v>379</v>
      </c>
      <c r="C11" s="53" t="s">
        <v>411</v>
      </c>
      <c r="D11" s="55">
        <v>1</v>
      </c>
      <c r="E11" s="55">
        <v>1</v>
      </c>
      <c r="F11" s="56">
        <v>213.8</v>
      </c>
      <c r="G11" s="55">
        <v>0</v>
      </c>
      <c r="H11" s="56">
        <v>213.8</v>
      </c>
      <c r="I11" s="72">
        <f>D11*H11</f>
        <v>213.8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213.8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213.8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256.5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256.5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8"/>
  <sheetViews>
    <sheetView view="pageBreakPreview" topLeftCell="A7" zoomScaleSheetLayoutView="100" workbookViewId="0">
      <selection activeCell="I26" sqref="I26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253</v>
      </c>
      <c r="B2" s="35" t="s">
        <v>264</v>
      </c>
      <c r="C2" s="579" t="s">
        <v>266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402</v>
      </c>
      <c r="B11" s="53" t="s">
        <v>379</v>
      </c>
      <c r="C11" s="53" t="s">
        <v>403</v>
      </c>
      <c r="D11" s="55">
        <v>0.01</v>
      </c>
      <c r="E11" s="55">
        <v>1</v>
      </c>
      <c r="F11" s="56">
        <v>27.22</v>
      </c>
      <c r="G11" s="55">
        <v>0</v>
      </c>
      <c r="H11" s="56">
        <v>27.22</v>
      </c>
      <c r="I11" s="72">
        <f>D11*H11</f>
        <v>0.2722</v>
      </c>
    </row>
    <row r="12" spans="1:16" ht="24" x14ac:dyDescent="0.25">
      <c r="A12" s="71" t="s">
        <v>404</v>
      </c>
      <c r="B12" s="53" t="s">
        <v>379</v>
      </c>
      <c r="C12" s="53" t="s">
        <v>405</v>
      </c>
      <c r="D12" s="55">
        <v>2</v>
      </c>
      <c r="E12" s="55">
        <v>1</v>
      </c>
      <c r="F12" s="56">
        <v>0.1</v>
      </c>
      <c r="G12" s="55">
        <v>0</v>
      </c>
      <c r="H12" s="56">
        <v>0.1</v>
      </c>
      <c r="I12" s="72">
        <f>D12*H12</f>
        <v>0.2</v>
      </c>
    </row>
    <row r="13" spans="1:16" ht="24" x14ac:dyDescent="0.25">
      <c r="A13" s="71" t="s">
        <v>406</v>
      </c>
      <c r="B13" s="53" t="s">
        <v>379</v>
      </c>
      <c r="C13" s="53" t="s">
        <v>407</v>
      </c>
      <c r="D13" s="55">
        <v>2</v>
      </c>
      <c r="E13" s="55">
        <v>1</v>
      </c>
      <c r="F13" s="56">
        <v>0.21</v>
      </c>
      <c r="G13" s="55">
        <v>0</v>
      </c>
      <c r="H13" s="56">
        <v>0.21</v>
      </c>
      <c r="I13" s="72">
        <f>D13*H13</f>
        <v>0.42</v>
      </c>
    </row>
    <row r="14" spans="1:16" ht="24" x14ac:dyDescent="0.25">
      <c r="A14" s="71" t="s">
        <v>408</v>
      </c>
      <c r="B14" s="53" t="s">
        <v>379</v>
      </c>
      <c r="C14" s="53" t="s">
        <v>409</v>
      </c>
      <c r="D14" s="55">
        <v>1</v>
      </c>
      <c r="E14" s="55">
        <v>1</v>
      </c>
      <c r="F14" s="56">
        <v>19.079999999999998</v>
      </c>
      <c r="G14" s="55">
        <v>0</v>
      </c>
      <c r="H14" s="56">
        <v>19.079999999999998</v>
      </c>
      <c r="I14" s="72">
        <f>D14*H14</f>
        <v>19.079999999999998</v>
      </c>
    </row>
    <row r="15" spans="1:16" x14ac:dyDescent="0.25">
      <c r="A15" s="73" t="s">
        <v>381</v>
      </c>
      <c r="B15" s="74"/>
      <c r="C15" s="75"/>
      <c r="D15" s="76"/>
      <c r="E15" s="76"/>
      <c r="F15" s="77"/>
      <c r="G15" s="78"/>
      <c r="H15" s="56">
        <f>F15</f>
        <v>0</v>
      </c>
      <c r="I15" s="79">
        <f>SUM(I11:I14)</f>
        <v>19.972199999999997</v>
      </c>
    </row>
    <row r="16" spans="1:16" x14ac:dyDescent="0.25">
      <c r="A16" s="80"/>
      <c r="B16" s="81"/>
      <c r="C16" s="82"/>
      <c r="D16" s="81"/>
      <c r="E16" s="81"/>
      <c r="F16" s="83"/>
      <c r="G16" s="84"/>
      <c r="H16" s="83"/>
      <c r="I16" s="85"/>
    </row>
    <row r="17" spans="1:9" x14ac:dyDescent="0.25">
      <c r="A17" s="40" t="s">
        <v>382</v>
      </c>
      <c r="B17" s="86"/>
      <c r="C17" s="87"/>
      <c r="D17" s="86"/>
      <c r="E17" s="86"/>
      <c r="F17" s="43"/>
      <c r="G17" s="88"/>
      <c r="H17" s="43" t="s">
        <v>383</v>
      </c>
      <c r="I17" s="89" t="s">
        <v>384</v>
      </c>
    </row>
    <row r="18" spans="1:9" x14ac:dyDescent="0.25">
      <c r="A18" s="90" t="s">
        <v>385</v>
      </c>
      <c r="B18" s="91"/>
      <c r="C18" s="92"/>
      <c r="D18" s="91"/>
      <c r="E18" s="91"/>
      <c r="F18" s="93"/>
      <c r="G18" s="94"/>
      <c r="H18" s="93"/>
      <c r="I18" s="95"/>
    </row>
    <row r="19" spans="1:9" x14ac:dyDescent="0.25">
      <c r="A19" s="321" t="s">
        <v>386</v>
      </c>
      <c r="B19" s="96"/>
      <c r="C19" s="92"/>
      <c r="D19" s="91"/>
      <c r="E19" s="91"/>
      <c r="F19" s="93"/>
      <c r="G19" s="94"/>
      <c r="H19" s="97">
        <v>135.96</v>
      </c>
      <c r="I19" s="95">
        <f>I8</f>
        <v>12.809999999999999</v>
      </c>
    </row>
    <row r="20" spans="1:9" x14ac:dyDescent="0.25">
      <c r="A20" s="321" t="s">
        <v>387</v>
      </c>
      <c r="B20" s="96"/>
      <c r="C20" s="92"/>
      <c r="D20" s="91"/>
      <c r="E20" s="91"/>
      <c r="F20" s="93"/>
      <c r="G20" s="94"/>
      <c r="H20" s="93"/>
      <c r="I20" s="95">
        <f>I15</f>
        <v>19.972199999999997</v>
      </c>
    </row>
    <row r="21" spans="1:9" x14ac:dyDescent="0.25">
      <c r="A21" s="321" t="s">
        <v>388</v>
      </c>
      <c r="B21" s="96"/>
      <c r="C21" s="92"/>
      <c r="D21" s="91"/>
      <c r="E21" s="91"/>
      <c r="F21" s="93"/>
      <c r="G21" s="94"/>
      <c r="H21" s="93"/>
      <c r="I21" s="95">
        <v>0</v>
      </c>
    </row>
    <row r="22" spans="1:9" x14ac:dyDescent="0.25">
      <c r="A22" s="321" t="s">
        <v>389</v>
      </c>
      <c r="B22" s="96"/>
      <c r="C22" s="92"/>
      <c r="D22" s="91"/>
      <c r="E22" s="91"/>
      <c r="F22" s="93"/>
      <c r="G22" s="94"/>
      <c r="H22" s="93"/>
      <c r="I22" s="95">
        <v>1</v>
      </c>
    </row>
    <row r="23" spans="1:9" x14ac:dyDescent="0.25">
      <c r="A23" s="321" t="s">
        <v>390</v>
      </c>
      <c r="B23" s="96"/>
      <c r="C23" s="92"/>
      <c r="D23" s="91"/>
      <c r="E23" s="91"/>
      <c r="F23" s="93"/>
      <c r="G23" s="94"/>
      <c r="H23" s="93"/>
      <c r="I23" s="95">
        <f>I19+I21</f>
        <v>12.809999999999999</v>
      </c>
    </row>
    <row r="24" spans="1:9" x14ac:dyDescent="0.25">
      <c r="A24" s="580" t="s">
        <v>391</v>
      </c>
      <c r="B24" s="580"/>
      <c r="C24" s="92"/>
      <c r="D24" s="91"/>
      <c r="E24" s="91"/>
      <c r="F24" s="93"/>
      <c r="G24" s="94"/>
      <c r="H24" s="93"/>
      <c r="I24" s="95">
        <f>SUM(I19+I21)/I22</f>
        <v>12.809999999999999</v>
      </c>
    </row>
    <row r="25" spans="1:9" x14ac:dyDescent="0.25">
      <c r="A25" s="321" t="s">
        <v>392</v>
      </c>
      <c r="B25" s="96"/>
      <c r="C25" s="92"/>
      <c r="D25" s="91"/>
      <c r="E25" s="91"/>
      <c r="F25" s="93"/>
      <c r="G25" s="94"/>
      <c r="H25" s="93"/>
      <c r="I25" s="95">
        <f>I24+I20</f>
        <v>32.782199999999996</v>
      </c>
    </row>
    <row r="26" spans="1:9" x14ac:dyDescent="0.25">
      <c r="A26" s="98" t="s">
        <v>393</v>
      </c>
      <c r="B26" s="99"/>
      <c r="C26" s="100"/>
      <c r="D26" s="99"/>
      <c r="E26" s="99"/>
      <c r="F26" s="101"/>
      <c r="G26" s="102"/>
      <c r="H26" s="101"/>
      <c r="I26" s="103">
        <f>SUM(I15,I8,)</f>
        <v>32.782199999999996</v>
      </c>
    </row>
    <row r="27" spans="1:9" x14ac:dyDescent="0.25">
      <c r="A27" s="104"/>
      <c r="B27" s="104"/>
      <c r="C27" s="105"/>
      <c r="D27" s="104"/>
      <c r="E27" s="104"/>
      <c r="F27" s="106"/>
      <c r="G27" s="107"/>
      <c r="H27" s="106"/>
      <c r="I27" s="106"/>
    </row>
    <row r="28" spans="1:9" x14ac:dyDescent="0.25">
      <c r="A28" s="108" t="s">
        <v>394</v>
      </c>
      <c r="B28" s="104"/>
      <c r="C28" s="105"/>
      <c r="D28" s="104"/>
      <c r="E28" s="104"/>
      <c r="F28" s="106"/>
      <c r="G28" s="107"/>
      <c r="H28" s="106"/>
      <c r="I28" s="106"/>
    </row>
  </sheetData>
  <mergeCells count="3">
    <mergeCell ref="B1:I1"/>
    <mergeCell ref="C2:I2"/>
    <mergeCell ref="A24:B24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256</v>
      </c>
      <c r="B2" s="35" t="s">
        <v>267</v>
      </c>
      <c r="C2" s="579" t="s">
        <v>269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2.17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26.994799999999998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2.17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19.334699999999998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46.329499999999996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401</v>
      </c>
      <c r="D11" s="55">
        <v>1</v>
      </c>
      <c r="E11" s="55">
        <v>1</v>
      </c>
      <c r="F11" s="56">
        <v>24.21</v>
      </c>
      <c r="G11" s="55">
        <v>0</v>
      </c>
      <c r="H11" s="56">
        <v>24.21</v>
      </c>
      <c r="I11" s="72">
        <f>D11*H11</f>
        <v>24.21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24.21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46.329499999999996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24.21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46.329499999999996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46.329499999999996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70.539500000000004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70.539500000000004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3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28.5" customHeight="1" x14ac:dyDescent="0.25">
      <c r="A2" s="34" t="s">
        <v>265</v>
      </c>
      <c r="B2" s="35" t="s">
        <v>270</v>
      </c>
      <c r="C2" s="579" t="s">
        <v>272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400</v>
      </c>
      <c r="D11" s="55">
        <v>1</v>
      </c>
      <c r="E11" s="55">
        <v>1</v>
      </c>
      <c r="F11" s="56">
        <v>2.5</v>
      </c>
      <c r="G11" s="55">
        <v>0</v>
      </c>
      <c r="H11" s="56">
        <v>2.5</v>
      </c>
      <c r="I11" s="72">
        <f>D11*H11</f>
        <v>2.5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2.5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12.809999999999999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2.5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12.809999999999999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12.809999999999999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15.309999999999999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15.309999999999999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topLeftCell="A7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268</v>
      </c>
      <c r="B2" s="35" t="s">
        <v>273</v>
      </c>
      <c r="C2" s="579" t="s">
        <v>275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1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12.44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1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8.91</v>
      </c>
    </row>
    <row r="8" spans="1:16" ht="24" x14ac:dyDescent="0.25">
      <c r="A8" s="327" t="s">
        <v>395</v>
      </c>
      <c r="B8" s="53" t="s">
        <v>373</v>
      </c>
      <c r="C8" s="53" t="s">
        <v>396</v>
      </c>
      <c r="D8" s="54">
        <v>0.64</v>
      </c>
      <c r="E8" s="55">
        <v>1</v>
      </c>
      <c r="F8" s="56">
        <f>H8</f>
        <v>7.77</v>
      </c>
      <c r="G8" s="55">
        <v>0</v>
      </c>
      <c r="H8" s="56">
        <v>7.77</v>
      </c>
      <c r="I8" s="328">
        <f>D8*F8</f>
        <v>4.9727999999999994</v>
      </c>
    </row>
    <row r="9" spans="1:16" x14ac:dyDescent="0.25">
      <c r="A9" s="57" t="s">
        <v>377</v>
      </c>
      <c r="B9" s="58"/>
      <c r="C9" s="59"/>
      <c r="D9" s="58"/>
      <c r="E9" s="58"/>
      <c r="F9" s="60"/>
      <c r="G9" s="61"/>
      <c r="H9" s="60"/>
      <c r="I9" s="62">
        <f>SUM(I6:I8)</f>
        <v>26.322800000000001</v>
      </c>
    </row>
    <row r="10" spans="1:16" x14ac:dyDescent="0.25">
      <c r="A10" s="63"/>
      <c r="B10" s="104"/>
      <c r="C10" s="105"/>
      <c r="D10" s="104"/>
      <c r="E10" s="104"/>
      <c r="F10" s="106"/>
      <c r="G10" s="107"/>
      <c r="H10" s="106"/>
      <c r="I10" s="64"/>
    </row>
    <row r="11" spans="1:16" x14ac:dyDescent="0.25">
      <c r="A11" s="65" t="s">
        <v>378</v>
      </c>
      <c r="B11" s="66"/>
      <c r="C11" s="67"/>
      <c r="D11" s="66"/>
      <c r="E11" s="66"/>
      <c r="F11" s="68"/>
      <c r="G11" s="69"/>
      <c r="H11" s="68"/>
      <c r="I11" s="70"/>
    </row>
    <row r="12" spans="1:16" ht="24" x14ac:dyDescent="0.25">
      <c r="A12" s="71" t="s">
        <v>397</v>
      </c>
      <c r="B12" s="53" t="s">
        <v>379</v>
      </c>
      <c r="C12" s="53" t="s">
        <v>398</v>
      </c>
      <c r="D12" s="55">
        <v>1</v>
      </c>
      <c r="E12" s="55">
        <v>1</v>
      </c>
      <c r="F12" s="56">
        <v>29.58</v>
      </c>
      <c r="G12" s="55">
        <v>0</v>
      </c>
      <c r="H12" s="56">
        <v>29.58</v>
      </c>
      <c r="I12" s="72">
        <f>D12*H12</f>
        <v>29.58</v>
      </c>
    </row>
    <row r="13" spans="1:16" x14ac:dyDescent="0.25">
      <c r="A13" s="73" t="s">
        <v>381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SUM(I12:I12)</f>
        <v>29.58</v>
      </c>
    </row>
    <row r="14" spans="1:16" x14ac:dyDescent="0.25">
      <c r="A14" s="80"/>
      <c r="B14" s="81"/>
      <c r="C14" s="82"/>
      <c r="D14" s="81"/>
      <c r="E14" s="81"/>
      <c r="F14" s="83"/>
      <c r="G14" s="84"/>
      <c r="H14" s="83"/>
      <c r="I14" s="85"/>
    </row>
    <row r="15" spans="1:16" x14ac:dyDescent="0.25">
      <c r="A15" s="40" t="s">
        <v>382</v>
      </c>
      <c r="B15" s="86"/>
      <c r="C15" s="87"/>
      <c r="D15" s="86"/>
      <c r="E15" s="86"/>
      <c r="F15" s="43"/>
      <c r="G15" s="88"/>
      <c r="H15" s="43" t="s">
        <v>383</v>
      </c>
      <c r="I15" s="89" t="s">
        <v>384</v>
      </c>
    </row>
    <row r="16" spans="1:16" x14ac:dyDescent="0.25">
      <c r="A16" s="90" t="s">
        <v>385</v>
      </c>
      <c r="B16" s="91"/>
      <c r="C16" s="92"/>
      <c r="D16" s="91"/>
      <c r="E16" s="91"/>
      <c r="F16" s="93"/>
      <c r="G16" s="94"/>
      <c r="H16" s="93"/>
      <c r="I16" s="95"/>
    </row>
    <row r="17" spans="1:9" x14ac:dyDescent="0.25">
      <c r="A17" s="321" t="s">
        <v>386</v>
      </c>
      <c r="B17" s="96"/>
      <c r="C17" s="92"/>
      <c r="D17" s="91"/>
      <c r="E17" s="91"/>
      <c r="F17" s="93"/>
      <c r="G17" s="94"/>
      <c r="H17" s="97">
        <v>135.96</v>
      </c>
      <c r="I17" s="95">
        <f>I9</f>
        <v>26.322800000000001</v>
      </c>
    </row>
    <row r="18" spans="1:9" x14ac:dyDescent="0.25">
      <c r="A18" s="321" t="s">
        <v>387</v>
      </c>
      <c r="B18" s="96"/>
      <c r="C18" s="92"/>
      <c r="D18" s="91"/>
      <c r="E18" s="91"/>
      <c r="F18" s="93"/>
      <c r="G18" s="94"/>
      <c r="H18" s="93"/>
      <c r="I18" s="95">
        <f>I13</f>
        <v>29.58</v>
      </c>
    </row>
    <row r="19" spans="1:9" x14ac:dyDescent="0.25">
      <c r="A19" s="321" t="s">
        <v>388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x14ac:dyDescent="0.25">
      <c r="A20" s="321" t="s">
        <v>389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x14ac:dyDescent="0.25">
      <c r="A21" s="321" t="s">
        <v>390</v>
      </c>
      <c r="B21" s="96"/>
      <c r="C21" s="92"/>
      <c r="D21" s="91"/>
      <c r="E21" s="91"/>
      <c r="F21" s="93"/>
      <c r="G21" s="94"/>
      <c r="H21" s="93"/>
      <c r="I21" s="95">
        <f>I17+I19</f>
        <v>26.322800000000001</v>
      </c>
    </row>
    <row r="22" spans="1:9" x14ac:dyDescent="0.25">
      <c r="A22" s="580" t="s">
        <v>391</v>
      </c>
      <c r="B22" s="580"/>
      <c r="C22" s="92"/>
      <c r="D22" s="91"/>
      <c r="E22" s="91"/>
      <c r="F22" s="93"/>
      <c r="G22" s="94"/>
      <c r="H22" s="93"/>
      <c r="I22" s="95">
        <f>SUM(I17+I19)/I20</f>
        <v>26.322800000000001</v>
      </c>
    </row>
    <row r="23" spans="1:9" x14ac:dyDescent="0.25">
      <c r="A23" s="321" t="s">
        <v>392</v>
      </c>
      <c r="B23" s="96"/>
      <c r="C23" s="92"/>
      <c r="D23" s="91"/>
      <c r="E23" s="91"/>
      <c r="F23" s="93"/>
      <c r="G23" s="94"/>
      <c r="H23" s="93"/>
      <c r="I23" s="95">
        <f>I22+I18</f>
        <v>55.902799999999999</v>
      </c>
    </row>
    <row r="24" spans="1:9" x14ac:dyDescent="0.25">
      <c r="A24" s="98" t="s">
        <v>393</v>
      </c>
      <c r="B24" s="99"/>
      <c r="C24" s="100"/>
      <c r="D24" s="99"/>
      <c r="E24" s="99"/>
      <c r="F24" s="101"/>
      <c r="G24" s="102"/>
      <c r="H24" s="101"/>
      <c r="I24" s="103">
        <f>SUM(I13,I9,)</f>
        <v>55.902799999999999</v>
      </c>
    </row>
    <row r="25" spans="1:9" x14ac:dyDescent="0.2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x14ac:dyDescent="0.25">
      <c r="A26" s="108" t="s">
        <v>394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35"/>
  <sheetViews>
    <sheetView view="pageBreakPreview" topLeftCell="A16" zoomScaleSheetLayoutView="100" workbookViewId="0">
      <selection activeCell="A3" sqref="A3"/>
    </sheetView>
  </sheetViews>
  <sheetFormatPr defaultColWidth="9.140625" defaultRowHeight="15" x14ac:dyDescent="0.25"/>
  <cols>
    <col min="1" max="1" width="35.7109375" style="27" customWidth="1"/>
    <col min="2" max="16384" width="9.140625" style="27"/>
  </cols>
  <sheetData>
    <row r="1" spans="1:9" ht="56.25" customHeight="1" x14ac:dyDescent="0.25">
      <c r="A1" s="329"/>
      <c r="B1" s="586" t="s">
        <v>417</v>
      </c>
      <c r="C1" s="586"/>
      <c r="D1" s="586"/>
      <c r="E1" s="586"/>
      <c r="F1" s="586"/>
      <c r="G1" s="586"/>
      <c r="H1" s="586"/>
      <c r="I1" s="587"/>
    </row>
    <row r="2" spans="1:9" ht="54.75" customHeight="1" x14ac:dyDescent="0.25">
      <c r="A2" s="330" t="s">
        <v>271</v>
      </c>
      <c r="B2" s="317" t="s">
        <v>503</v>
      </c>
      <c r="C2" s="594" t="s">
        <v>447</v>
      </c>
      <c r="D2" s="594"/>
      <c r="E2" s="594"/>
      <c r="F2" s="594"/>
      <c r="G2" s="594"/>
      <c r="H2" s="594"/>
      <c r="I2" s="595"/>
    </row>
    <row r="3" spans="1:9" x14ac:dyDescent="0.25">
      <c r="A3" s="331" t="s">
        <v>362</v>
      </c>
      <c r="B3" s="316" t="s">
        <v>363</v>
      </c>
      <c r="C3" s="110" t="s">
        <v>364</v>
      </c>
      <c r="D3" s="110" t="s">
        <v>365</v>
      </c>
      <c r="E3" s="110" t="s">
        <v>366</v>
      </c>
      <c r="F3" s="111" t="s">
        <v>367</v>
      </c>
      <c r="G3" s="110" t="s">
        <v>368</v>
      </c>
      <c r="H3" s="111" t="s">
        <v>369</v>
      </c>
      <c r="I3" s="332" t="s">
        <v>370</v>
      </c>
    </row>
    <row r="4" spans="1:9" ht="16.5" x14ac:dyDescent="0.25">
      <c r="A4" s="333"/>
      <c r="B4" s="112"/>
      <c r="C4" s="113"/>
      <c r="D4" s="112"/>
      <c r="E4" s="112"/>
      <c r="F4" s="114"/>
      <c r="G4" s="115"/>
      <c r="H4" s="114"/>
      <c r="I4" s="334"/>
    </row>
    <row r="5" spans="1:9" ht="15" customHeight="1" x14ac:dyDescent="0.25">
      <c r="A5" s="588" t="s">
        <v>371</v>
      </c>
      <c r="B5" s="589"/>
      <c r="C5" s="589"/>
      <c r="D5" s="589"/>
      <c r="E5" s="589"/>
      <c r="F5" s="589"/>
      <c r="G5" s="589"/>
      <c r="H5" s="589"/>
      <c r="I5" s="590"/>
    </row>
    <row r="6" spans="1:9" ht="21" x14ac:dyDescent="0.25">
      <c r="A6" s="136" t="s">
        <v>419</v>
      </c>
      <c r="B6" s="126" t="s">
        <v>373</v>
      </c>
      <c r="C6" s="126" t="s">
        <v>420</v>
      </c>
      <c r="D6" s="135">
        <v>4</v>
      </c>
      <c r="E6" s="116">
        <v>1</v>
      </c>
      <c r="F6" s="117">
        <v>11.45</v>
      </c>
      <c r="G6" s="116">
        <v>0</v>
      </c>
      <c r="H6" s="117">
        <v>11.45</v>
      </c>
      <c r="I6" s="335">
        <f>D6*F6</f>
        <v>45.8</v>
      </c>
    </row>
    <row r="7" spans="1:9" ht="21" x14ac:dyDescent="0.25">
      <c r="A7" s="125" t="s">
        <v>395</v>
      </c>
      <c r="B7" s="126" t="s">
        <v>373</v>
      </c>
      <c r="C7" s="126" t="s">
        <v>418</v>
      </c>
      <c r="D7" s="135">
        <v>3</v>
      </c>
      <c r="E7" s="116">
        <v>1</v>
      </c>
      <c r="F7" s="117">
        <v>8.77</v>
      </c>
      <c r="G7" s="116">
        <v>0</v>
      </c>
      <c r="H7" s="117">
        <v>7.77</v>
      </c>
      <c r="I7" s="335">
        <f>D7*F7</f>
        <v>26.31</v>
      </c>
    </row>
    <row r="8" spans="1:9" ht="15" customHeight="1" x14ac:dyDescent="0.25">
      <c r="A8" s="588" t="s">
        <v>377</v>
      </c>
      <c r="B8" s="589"/>
      <c r="C8" s="589"/>
      <c r="D8" s="589"/>
      <c r="E8" s="589"/>
      <c r="F8" s="589"/>
      <c r="G8" s="589"/>
      <c r="H8" s="589"/>
      <c r="I8" s="336">
        <f>SUM(I6:I7)</f>
        <v>72.11</v>
      </c>
    </row>
    <row r="9" spans="1:9" ht="16.5" x14ac:dyDescent="0.25">
      <c r="A9" s="591"/>
      <c r="B9" s="592"/>
      <c r="C9" s="592"/>
      <c r="D9" s="592"/>
      <c r="E9" s="592"/>
      <c r="F9" s="592"/>
      <c r="G9" s="592"/>
      <c r="H9" s="592"/>
      <c r="I9" s="593"/>
    </row>
    <row r="10" spans="1:9" ht="15" customHeight="1" x14ac:dyDescent="0.25">
      <c r="A10" s="588" t="s">
        <v>378</v>
      </c>
      <c r="B10" s="589"/>
      <c r="C10" s="589"/>
      <c r="D10" s="589"/>
      <c r="E10" s="589"/>
      <c r="F10" s="589"/>
      <c r="G10" s="589"/>
      <c r="H10" s="589"/>
      <c r="I10" s="590"/>
    </row>
    <row r="11" spans="1:9" x14ac:dyDescent="0.25">
      <c r="A11" s="337" t="s">
        <v>378</v>
      </c>
      <c r="B11" s="110" t="s">
        <v>363</v>
      </c>
      <c r="C11" s="110" t="s">
        <v>364</v>
      </c>
      <c r="D11" s="110" t="s">
        <v>365</v>
      </c>
      <c r="E11" s="110" t="s">
        <v>366</v>
      </c>
      <c r="F11" s="111" t="s">
        <v>367</v>
      </c>
      <c r="G11" s="110" t="s">
        <v>368</v>
      </c>
      <c r="H11" s="111" t="s">
        <v>369</v>
      </c>
      <c r="I11" s="332" t="s">
        <v>370</v>
      </c>
    </row>
    <row r="12" spans="1:9" ht="24.75" customHeight="1" x14ac:dyDescent="0.25">
      <c r="A12" s="327" t="s">
        <v>448</v>
      </c>
      <c r="B12" s="116" t="s">
        <v>215</v>
      </c>
      <c r="C12" s="116">
        <v>7698</v>
      </c>
      <c r="D12" s="135">
        <v>1.5</v>
      </c>
      <c r="E12" s="116">
        <v>1</v>
      </c>
      <c r="F12" s="117">
        <v>23.67</v>
      </c>
      <c r="G12" s="116">
        <v>0</v>
      </c>
      <c r="H12" s="117">
        <v>23.67</v>
      </c>
      <c r="I12" s="335">
        <f t="shared" ref="I12" si="0">D12*F12</f>
        <v>35.505000000000003</v>
      </c>
    </row>
    <row r="13" spans="1:9" x14ac:dyDescent="0.25">
      <c r="A13" s="327" t="s">
        <v>449</v>
      </c>
      <c r="B13" s="116" t="s">
        <v>459</v>
      </c>
      <c r="C13" s="116">
        <v>773</v>
      </c>
      <c r="D13" s="135">
        <v>1</v>
      </c>
      <c r="E13" s="116">
        <v>1</v>
      </c>
      <c r="F13" s="117">
        <v>17.100000000000001</v>
      </c>
      <c r="G13" s="116">
        <v>0</v>
      </c>
      <c r="H13" s="117">
        <v>17.100000000000001</v>
      </c>
      <c r="I13" s="335">
        <f t="shared" ref="I13:I24" si="1">D13*F13</f>
        <v>17.100000000000001</v>
      </c>
    </row>
    <row r="14" spans="1:9" x14ac:dyDescent="0.25">
      <c r="A14" s="327" t="s">
        <v>450</v>
      </c>
      <c r="B14" s="116" t="s">
        <v>459</v>
      </c>
      <c r="C14" s="116">
        <v>770</v>
      </c>
      <c r="D14" s="135">
        <v>1</v>
      </c>
      <c r="E14" s="116">
        <v>1</v>
      </c>
      <c r="F14" s="117">
        <v>2.11</v>
      </c>
      <c r="G14" s="116">
        <v>0</v>
      </c>
      <c r="H14" s="117">
        <v>2.11</v>
      </c>
      <c r="I14" s="335">
        <f t="shared" si="1"/>
        <v>2.11</v>
      </c>
    </row>
    <row r="15" spans="1:9" x14ac:dyDescent="0.25">
      <c r="A15" s="327" t="s">
        <v>451</v>
      </c>
      <c r="B15" s="116" t="s">
        <v>459</v>
      </c>
      <c r="C15" s="116">
        <v>4179</v>
      </c>
      <c r="D15" s="135">
        <v>5</v>
      </c>
      <c r="E15" s="116">
        <v>1</v>
      </c>
      <c r="F15" s="117">
        <v>5.47</v>
      </c>
      <c r="G15" s="116">
        <v>0</v>
      </c>
      <c r="H15" s="117">
        <v>5.47</v>
      </c>
      <c r="I15" s="335">
        <f t="shared" si="1"/>
        <v>27.349999999999998</v>
      </c>
    </row>
    <row r="16" spans="1:9" x14ac:dyDescent="0.25">
      <c r="A16" s="327" t="s">
        <v>452</v>
      </c>
      <c r="B16" s="116" t="s">
        <v>459</v>
      </c>
      <c r="C16" s="116">
        <v>4177</v>
      </c>
      <c r="D16" s="135">
        <v>1</v>
      </c>
      <c r="E16" s="116">
        <v>1</v>
      </c>
      <c r="F16" s="117">
        <v>2.2599999999999998</v>
      </c>
      <c r="G16" s="116">
        <v>0</v>
      </c>
      <c r="H16" s="117">
        <v>2.2599999999999998</v>
      </c>
      <c r="I16" s="335">
        <f t="shared" si="1"/>
        <v>2.2599999999999998</v>
      </c>
    </row>
    <row r="17" spans="1:9" x14ac:dyDescent="0.25">
      <c r="A17" s="327" t="s">
        <v>453</v>
      </c>
      <c r="B17" s="116" t="s">
        <v>459</v>
      </c>
      <c r="C17" s="116">
        <v>4186</v>
      </c>
      <c r="D17" s="135">
        <v>1</v>
      </c>
      <c r="E17" s="116">
        <v>1</v>
      </c>
      <c r="F17" s="117">
        <v>2.2599999999999998</v>
      </c>
      <c r="G17" s="116">
        <v>0</v>
      </c>
      <c r="H17" s="117">
        <v>2.2599999999999998</v>
      </c>
      <c r="I17" s="335">
        <f t="shared" si="1"/>
        <v>2.2599999999999998</v>
      </c>
    </row>
    <row r="18" spans="1:9" x14ac:dyDescent="0.25">
      <c r="A18" s="327" t="s">
        <v>454</v>
      </c>
      <c r="B18" s="116" t="s">
        <v>459</v>
      </c>
      <c r="C18" s="116">
        <v>6320</v>
      </c>
      <c r="D18" s="135">
        <v>1</v>
      </c>
      <c r="E18" s="116">
        <v>1</v>
      </c>
      <c r="F18" s="117">
        <v>10.210000000000001</v>
      </c>
      <c r="G18" s="116">
        <v>0</v>
      </c>
      <c r="H18" s="117">
        <v>10.210000000000001</v>
      </c>
      <c r="I18" s="335">
        <f t="shared" si="1"/>
        <v>10.210000000000001</v>
      </c>
    </row>
    <row r="19" spans="1:9" x14ac:dyDescent="0.25">
      <c r="A19" s="327" t="s">
        <v>455</v>
      </c>
      <c r="B19" s="116" t="s">
        <v>459</v>
      </c>
      <c r="C19" s="116">
        <v>6019</v>
      </c>
      <c r="D19" s="135">
        <v>1</v>
      </c>
      <c r="E19" s="116">
        <v>1</v>
      </c>
      <c r="F19" s="117">
        <v>34.22</v>
      </c>
      <c r="G19" s="116">
        <v>0</v>
      </c>
      <c r="H19" s="117">
        <v>34.22</v>
      </c>
      <c r="I19" s="335">
        <f t="shared" si="1"/>
        <v>34.22</v>
      </c>
    </row>
    <row r="20" spans="1:9" s="128" customFormat="1" ht="21" x14ac:dyDescent="0.25">
      <c r="A20" s="338" t="s">
        <v>460</v>
      </c>
      <c r="B20" s="137" t="s">
        <v>461</v>
      </c>
      <c r="C20" s="137">
        <v>12332</v>
      </c>
      <c r="D20" s="138">
        <v>1</v>
      </c>
      <c r="E20" s="137">
        <v>1</v>
      </c>
      <c r="F20" s="139">
        <v>38.729999999999997</v>
      </c>
      <c r="G20" s="137">
        <v>0</v>
      </c>
      <c r="H20" s="139">
        <v>38.729999999999997</v>
      </c>
      <c r="I20" s="339">
        <f t="shared" si="1"/>
        <v>38.729999999999997</v>
      </c>
    </row>
    <row r="21" spans="1:9" s="128" customFormat="1" ht="21" x14ac:dyDescent="0.25">
      <c r="A21" s="338" t="s">
        <v>462</v>
      </c>
      <c r="B21" s="116" t="s">
        <v>459</v>
      </c>
      <c r="C21" s="137">
        <v>7588</v>
      </c>
      <c r="D21" s="138">
        <v>1</v>
      </c>
      <c r="E21" s="137">
        <v>1</v>
      </c>
      <c r="F21" s="139">
        <v>35.1</v>
      </c>
      <c r="G21" s="137">
        <v>0</v>
      </c>
      <c r="H21" s="139">
        <v>35.1</v>
      </c>
      <c r="I21" s="339">
        <f t="shared" si="1"/>
        <v>35.1</v>
      </c>
    </row>
    <row r="22" spans="1:9" ht="21" x14ac:dyDescent="0.25">
      <c r="A22" s="338" t="s">
        <v>456</v>
      </c>
      <c r="B22" s="137" t="s">
        <v>459</v>
      </c>
      <c r="C22" s="137" t="s">
        <v>662</v>
      </c>
      <c r="D22" s="138">
        <v>1</v>
      </c>
      <c r="E22" s="137">
        <v>1</v>
      </c>
      <c r="F22" s="139">
        <f t="shared" ref="F22:H22" si="2">D22</f>
        <v>1</v>
      </c>
      <c r="G22" s="137">
        <v>0</v>
      </c>
      <c r="H22" s="139">
        <f t="shared" si="2"/>
        <v>1</v>
      </c>
      <c r="I22" s="339">
        <f t="shared" si="1"/>
        <v>1</v>
      </c>
    </row>
    <row r="23" spans="1:9" s="128" customFormat="1" x14ac:dyDescent="0.25">
      <c r="A23" s="338" t="s">
        <v>457</v>
      </c>
      <c r="B23" s="137" t="s">
        <v>459</v>
      </c>
      <c r="C23" s="137">
        <v>12899</v>
      </c>
      <c r="D23" s="138">
        <v>1</v>
      </c>
      <c r="E23" s="137">
        <v>1</v>
      </c>
      <c r="F23" s="139">
        <v>45.54</v>
      </c>
      <c r="G23" s="137">
        <v>0</v>
      </c>
      <c r="H23" s="139">
        <v>45.54</v>
      </c>
      <c r="I23" s="339">
        <f t="shared" si="1"/>
        <v>45.54</v>
      </c>
    </row>
    <row r="24" spans="1:9" x14ac:dyDescent="0.25">
      <c r="A24" s="327" t="s">
        <v>458</v>
      </c>
      <c r="B24" s="116" t="s">
        <v>459</v>
      </c>
      <c r="C24" s="116">
        <v>3143</v>
      </c>
      <c r="D24" s="135">
        <v>1</v>
      </c>
      <c r="E24" s="116">
        <v>1</v>
      </c>
      <c r="F24" s="117">
        <v>6.93</v>
      </c>
      <c r="G24" s="116">
        <v>0</v>
      </c>
      <c r="H24" s="117">
        <v>6.93</v>
      </c>
      <c r="I24" s="335">
        <f t="shared" si="1"/>
        <v>6.93</v>
      </c>
    </row>
    <row r="25" spans="1:9" x14ac:dyDescent="0.25">
      <c r="A25" s="581" t="s">
        <v>377</v>
      </c>
      <c r="B25" s="582"/>
      <c r="C25" s="582"/>
      <c r="D25" s="582"/>
      <c r="E25" s="582"/>
      <c r="F25" s="582"/>
      <c r="G25" s="582"/>
      <c r="H25" s="582"/>
      <c r="I25" s="340">
        <f>SUM(I12:I24)</f>
        <v>258.315</v>
      </c>
    </row>
    <row r="26" spans="1:9" x14ac:dyDescent="0.25">
      <c r="A26" s="341" t="s">
        <v>382</v>
      </c>
      <c r="B26" s="583"/>
      <c r="C26" s="583"/>
      <c r="D26" s="583"/>
      <c r="E26" s="583"/>
      <c r="F26" s="583"/>
      <c r="G26" s="583"/>
      <c r="H26" s="118" t="s">
        <v>383</v>
      </c>
      <c r="I26" s="342" t="s">
        <v>384</v>
      </c>
    </row>
    <row r="27" spans="1:9" x14ac:dyDescent="0.25">
      <c r="A27" s="343" t="s">
        <v>385</v>
      </c>
      <c r="B27" s="119"/>
      <c r="C27" s="120"/>
      <c r="D27" s="119"/>
      <c r="E27" s="119"/>
      <c r="F27" s="121"/>
      <c r="G27" s="122"/>
      <c r="H27" s="121"/>
      <c r="I27" s="344"/>
    </row>
    <row r="28" spans="1:9" x14ac:dyDescent="0.25">
      <c r="A28" s="345" t="s">
        <v>386</v>
      </c>
      <c r="B28" s="123"/>
      <c r="C28" s="120"/>
      <c r="D28" s="119"/>
      <c r="E28" s="119"/>
      <c r="F28" s="121"/>
      <c r="G28" s="122"/>
      <c r="H28" s="124">
        <v>1.3595999999999999</v>
      </c>
      <c r="I28" s="344">
        <f>I8*H28</f>
        <v>98.040755999999988</v>
      </c>
    </row>
    <row r="29" spans="1:9" x14ac:dyDescent="0.25">
      <c r="A29" s="345" t="s">
        <v>387</v>
      </c>
      <c r="B29" s="123"/>
      <c r="C29" s="120"/>
      <c r="D29" s="119"/>
      <c r="E29" s="119"/>
      <c r="F29" s="121"/>
      <c r="G29" s="122"/>
      <c r="H29" s="121"/>
      <c r="I29" s="344">
        <f>I25</f>
        <v>258.315</v>
      </c>
    </row>
    <row r="30" spans="1:9" x14ac:dyDescent="0.25">
      <c r="A30" s="345" t="s">
        <v>388</v>
      </c>
      <c r="B30" s="123"/>
      <c r="C30" s="120"/>
      <c r="D30" s="119"/>
      <c r="E30" s="119"/>
      <c r="F30" s="121"/>
      <c r="G30" s="122"/>
      <c r="H30" s="121"/>
      <c r="I30" s="344">
        <v>0</v>
      </c>
    </row>
    <row r="31" spans="1:9" x14ac:dyDescent="0.25">
      <c r="A31" s="345" t="s">
        <v>389</v>
      </c>
      <c r="B31" s="123"/>
      <c r="C31" s="120"/>
      <c r="D31" s="119"/>
      <c r="E31" s="119"/>
      <c r="F31" s="121"/>
      <c r="G31" s="122"/>
      <c r="H31" s="121"/>
      <c r="I31" s="344">
        <v>1</v>
      </c>
    </row>
    <row r="32" spans="1:9" x14ac:dyDescent="0.25">
      <c r="A32" s="345" t="s">
        <v>390</v>
      </c>
      <c r="B32" s="123"/>
      <c r="C32" s="120"/>
      <c r="D32" s="119"/>
      <c r="E32" s="119"/>
      <c r="F32" s="121"/>
      <c r="G32" s="122"/>
      <c r="H32" s="121"/>
      <c r="I32" s="344">
        <f>I28+I30</f>
        <v>98.040755999999988</v>
      </c>
    </row>
    <row r="33" spans="1:9" x14ac:dyDescent="0.25">
      <c r="A33" s="584" t="s">
        <v>391</v>
      </c>
      <c r="B33" s="585"/>
      <c r="C33" s="120"/>
      <c r="D33" s="119"/>
      <c r="E33" s="119"/>
      <c r="F33" s="121"/>
      <c r="G33" s="122"/>
      <c r="H33" s="121"/>
      <c r="I33" s="344">
        <f>SUM(I28+I30)/I31</f>
        <v>98.040755999999988</v>
      </c>
    </row>
    <row r="34" spans="1:9" x14ac:dyDescent="0.25">
      <c r="A34" s="345" t="s">
        <v>392</v>
      </c>
      <c r="B34" s="123"/>
      <c r="C34" s="120"/>
      <c r="D34" s="119"/>
      <c r="E34" s="119"/>
      <c r="F34" s="121"/>
      <c r="G34" s="122"/>
      <c r="H34" s="121"/>
      <c r="I34" s="344">
        <f>I33+I29</f>
        <v>356.35575599999999</v>
      </c>
    </row>
    <row r="35" spans="1:9" ht="15.75" thickBot="1" x14ac:dyDescent="0.3">
      <c r="A35" s="346" t="s">
        <v>393</v>
      </c>
      <c r="B35" s="347"/>
      <c r="C35" s="348"/>
      <c r="D35" s="347"/>
      <c r="E35" s="347"/>
      <c r="F35" s="349"/>
      <c r="G35" s="350"/>
      <c r="H35" s="349"/>
      <c r="I35" s="351">
        <f>I34</f>
        <v>356.35575599999999</v>
      </c>
    </row>
  </sheetData>
  <mergeCells count="9">
    <mergeCell ref="A25:H25"/>
    <mergeCell ref="B26:G26"/>
    <mergeCell ref="A33:B33"/>
    <mergeCell ref="B1:I1"/>
    <mergeCell ref="A5:I5"/>
    <mergeCell ref="A8:H8"/>
    <mergeCell ref="A9:I9"/>
    <mergeCell ref="A10:I10"/>
    <mergeCell ref="C2:I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84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topLeftCell="A13" zoomScale="40" zoomScaleSheetLayoutView="40" workbookViewId="0">
      <selection activeCell="A7" sqref="A7:C10"/>
    </sheetView>
  </sheetViews>
  <sheetFormatPr defaultRowHeight="15" x14ac:dyDescent="0.2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43" customFormat="1" ht="12.75" customHeight="1" x14ac:dyDescent="0.2">
      <c r="A1" s="372" t="s">
        <v>463</v>
      </c>
      <c r="B1" s="399"/>
      <c r="C1" s="400"/>
    </row>
    <row r="2" spans="1:3" s="143" customFormat="1" ht="15" customHeight="1" x14ac:dyDescent="0.2">
      <c r="A2" s="401"/>
      <c r="B2" s="402"/>
      <c r="C2" s="403"/>
    </row>
    <row r="3" spans="1:3" s="143" customFormat="1" ht="15" customHeight="1" x14ac:dyDescent="0.2">
      <c r="A3" s="401"/>
      <c r="B3" s="402"/>
      <c r="C3" s="403"/>
    </row>
    <row r="4" spans="1:3" s="143" customFormat="1" ht="15" customHeight="1" x14ac:dyDescent="0.2">
      <c r="A4" s="401"/>
      <c r="B4" s="402"/>
      <c r="C4" s="403"/>
    </row>
    <row r="5" spans="1:3" s="143" customFormat="1" ht="15" customHeight="1" x14ac:dyDescent="0.2">
      <c r="A5" s="401"/>
      <c r="B5" s="402"/>
      <c r="C5" s="403"/>
    </row>
    <row r="6" spans="1:3" s="143" customFormat="1" ht="15.75" customHeight="1" thickBot="1" x14ac:dyDescent="0.25">
      <c r="A6" s="404"/>
      <c r="B6" s="405"/>
      <c r="C6" s="406"/>
    </row>
    <row r="7" spans="1:3" x14ac:dyDescent="0.25">
      <c r="A7" s="407" t="s">
        <v>570</v>
      </c>
      <c r="B7" s="408"/>
      <c r="C7" s="409"/>
    </row>
    <row r="8" spans="1:3" x14ac:dyDescent="0.25">
      <c r="A8" s="410"/>
      <c r="B8" s="411"/>
      <c r="C8" s="412"/>
    </row>
    <row r="9" spans="1:3" x14ac:dyDescent="0.25">
      <c r="A9" s="410"/>
      <c r="B9" s="411"/>
      <c r="C9" s="412"/>
    </row>
    <row r="10" spans="1:3" ht="15.75" thickBot="1" x14ac:dyDescent="0.3">
      <c r="A10" s="413"/>
      <c r="B10" s="414"/>
      <c r="C10" s="415"/>
    </row>
    <row r="11" spans="1:3" ht="14.25" customHeight="1" thickTop="1" thickBot="1" x14ac:dyDescent="0.3">
      <c r="A11" s="418" t="s">
        <v>0</v>
      </c>
      <c r="B11" s="418"/>
      <c r="C11" s="2" t="s">
        <v>1</v>
      </c>
    </row>
    <row r="12" spans="1:3" ht="15.75" thickTop="1" x14ac:dyDescent="0.25">
      <c r="A12" s="3" t="s">
        <v>2</v>
      </c>
      <c r="B12" s="4" t="s">
        <v>3</v>
      </c>
      <c r="C12" s="5">
        <v>0</v>
      </c>
    </row>
    <row r="13" spans="1:3" x14ac:dyDescent="0.25">
      <c r="A13" s="6" t="s">
        <v>4</v>
      </c>
      <c r="B13" s="7" t="s">
        <v>5</v>
      </c>
      <c r="C13" s="8">
        <v>1.4999999999999999E-2</v>
      </c>
    </row>
    <row r="14" spans="1:3" x14ac:dyDescent="0.25">
      <c r="A14" s="6" t="s">
        <v>6</v>
      </c>
      <c r="B14" s="7" t="s">
        <v>7</v>
      </c>
      <c r="C14" s="8">
        <v>0.01</v>
      </c>
    </row>
    <row r="15" spans="1:3" x14ac:dyDescent="0.25">
      <c r="A15" s="6" t="s">
        <v>8</v>
      </c>
      <c r="B15" s="7" t="s">
        <v>9</v>
      </c>
      <c r="C15" s="8">
        <v>2E-3</v>
      </c>
    </row>
    <row r="16" spans="1:3" x14ac:dyDescent="0.25">
      <c r="A16" s="6" t="s">
        <v>10</v>
      </c>
      <c r="B16" s="7" t="s">
        <v>11</v>
      </c>
      <c r="C16" s="8">
        <v>2.5000000000000001E-2</v>
      </c>
    </row>
    <row r="17" spans="1:3" x14ac:dyDescent="0.25">
      <c r="A17" s="6" t="s">
        <v>12</v>
      </c>
      <c r="B17" s="7" t="s">
        <v>13</v>
      </c>
      <c r="C17" s="8">
        <v>0.08</v>
      </c>
    </row>
    <row r="18" spans="1:3" x14ac:dyDescent="0.25">
      <c r="A18" s="6" t="s">
        <v>14</v>
      </c>
      <c r="B18" s="7" t="s">
        <v>15</v>
      </c>
      <c r="C18" s="8">
        <v>0.03</v>
      </c>
    </row>
    <row r="19" spans="1:3" x14ac:dyDescent="0.25">
      <c r="A19" s="6" t="s">
        <v>16</v>
      </c>
      <c r="B19" s="7" t="s">
        <v>17</v>
      </c>
      <c r="C19" s="8">
        <v>6.0000000000000001E-3</v>
      </c>
    </row>
    <row r="20" spans="1:3" x14ac:dyDescent="0.25">
      <c r="A20" s="6" t="s">
        <v>18</v>
      </c>
      <c r="B20" s="7" t="s">
        <v>19</v>
      </c>
      <c r="C20" s="8">
        <v>0.01</v>
      </c>
    </row>
    <row r="21" spans="1:3" x14ac:dyDescent="0.25">
      <c r="A21" s="6"/>
      <c r="B21" s="9" t="s">
        <v>20</v>
      </c>
      <c r="C21" s="10">
        <f>SUM(C12:C20)</f>
        <v>0.17800000000000002</v>
      </c>
    </row>
    <row r="22" spans="1:3" ht="15.75" thickBot="1" x14ac:dyDescent="0.3">
      <c r="A22" s="11"/>
      <c r="B22" s="12"/>
      <c r="C22" s="13"/>
    </row>
    <row r="23" spans="1:3" ht="14.25" customHeight="1" thickTop="1" thickBot="1" x14ac:dyDescent="0.3">
      <c r="A23" s="418" t="s">
        <v>21</v>
      </c>
      <c r="B23" s="418"/>
      <c r="C23" s="14"/>
    </row>
    <row r="24" spans="1:3" ht="15.75" thickTop="1" x14ac:dyDescent="0.25">
      <c r="A24" s="3" t="s">
        <v>22</v>
      </c>
      <c r="B24" s="4" t="s">
        <v>23</v>
      </c>
      <c r="C24" s="5">
        <v>0.17949999999999999</v>
      </c>
    </row>
    <row r="25" spans="1:3" x14ac:dyDescent="0.25">
      <c r="A25" s="3" t="s">
        <v>24</v>
      </c>
      <c r="B25" s="7" t="s">
        <v>25</v>
      </c>
      <c r="C25" s="8">
        <v>4.3200000000000002E-2</v>
      </c>
    </row>
    <row r="26" spans="1:3" x14ac:dyDescent="0.25">
      <c r="A26" s="3" t="s">
        <v>26</v>
      </c>
      <c r="B26" s="7" t="s">
        <v>27</v>
      </c>
      <c r="C26" s="8">
        <v>9.1999999999999998E-3</v>
      </c>
    </row>
    <row r="27" spans="1:3" x14ac:dyDescent="0.25">
      <c r="A27" s="3" t="s">
        <v>28</v>
      </c>
      <c r="B27" s="7" t="s">
        <v>29</v>
      </c>
      <c r="C27" s="8">
        <v>0.1099</v>
      </c>
    </row>
    <row r="28" spans="1:3" x14ac:dyDescent="0.25">
      <c r="A28" s="3" t="s">
        <v>30</v>
      </c>
      <c r="B28" s="7" t="s">
        <v>31</v>
      </c>
      <c r="C28" s="8">
        <v>8.0000000000000004E-4</v>
      </c>
    </row>
    <row r="29" spans="1:3" x14ac:dyDescent="0.25">
      <c r="A29" s="3" t="s">
        <v>32</v>
      </c>
      <c r="B29" s="7" t="s">
        <v>33</v>
      </c>
      <c r="C29" s="8">
        <v>7.3000000000000001E-3</v>
      </c>
    </row>
    <row r="30" spans="1:3" x14ac:dyDescent="0.25">
      <c r="A30" s="3" t="s">
        <v>34</v>
      </c>
      <c r="B30" s="7" t="s">
        <v>35</v>
      </c>
      <c r="C30" s="8">
        <v>1.47E-2</v>
      </c>
    </row>
    <row r="31" spans="1:3" x14ac:dyDescent="0.25">
      <c r="A31" s="3" t="s">
        <v>36</v>
      </c>
      <c r="B31" s="7" t="s">
        <v>37</v>
      </c>
      <c r="C31" s="8">
        <v>1.1999999999999999E-3</v>
      </c>
    </row>
    <row r="32" spans="1:3" x14ac:dyDescent="0.25">
      <c r="A32" s="3" t="s">
        <v>38</v>
      </c>
      <c r="B32" s="7" t="s">
        <v>39</v>
      </c>
      <c r="C32" s="8">
        <v>0.109</v>
      </c>
    </row>
    <row r="33" spans="1:3" x14ac:dyDescent="0.25">
      <c r="A33" s="3" t="s">
        <v>40</v>
      </c>
      <c r="B33" s="7" t="s">
        <v>41</v>
      </c>
      <c r="C33" s="8">
        <v>2.9999999999999997E-4</v>
      </c>
    </row>
    <row r="34" spans="1:3" x14ac:dyDescent="0.25">
      <c r="A34" s="3"/>
      <c r="B34" s="9" t="s">
        <v>42</v>
      </c>
      <c r="C34" s="10">
        <f>SUM(C24:C33)</f>
        <v>0.47509999999999997</v>
      </c>
    </row>
    <row r="35" spans="1:3" ht="15.75" thickBot="1" x14ac:dyDescent="0.3">
      <c r="A35" s="11"/>
      <c r="B35" s="12"/>
      <c r="C35" s="13"/>
    </row>
    <row r="36" spans="1:3" ht="14.25" customHeight="1" thickTop="1" thickBot="1" x14ac:dyDescent="0.3">
      <c r="A36" s="418" t="s">
        <v>43</v>
      </c>
      <c r="B36" s="418"/>
      <c r="C36" s="14"/>
    </row>
    <row r="37" spans="1:3" ht="15.75" thickTop="1" x14ac:dyDescent="0.25">
      <c r="A37" s="3" t="s">
        <v>44</v>
      </c>
      <c r="B37" s="4" t="s">
        <v>45</v>
      </c>
      <c r="C37" s="15">
        <v>6.9000000000000006E-2</v>
      </c>
    </row>
    <row r="38" spans="1:3" x14ac:dyDescent="0.25">
      <c r="A38" s="6" t="s">
        <v>46</v>
      </c>
      <c r="B38" s="7" t="s">
        <v>47</v>
      </c>
      <c r="C38" s="8">
        <v>3.8999999999999998E-3</v>
      </c>
    </row>
    <row r="39" spans="1:3" x14ac:dyDescent="0.25">
      <c r="A39" s="3" t="s">
        <v>48</v>
      </c>
      <c r="B39" s="4" t="s">
        <v>49</v>
      </c>
      <c r="C39" s="5">
        <v>3.1E-2</v>
      </c>
    </row>
    <row r="40" spans="1:3" x14ac:dyDescent="0.25">
      <c r="A40" s="6" t="s">
        <v>50</v>
      </c>
      <c r="B40" s="7" t="s">
        <v>51</v>
      </c>
      <c r="C40" s="8">
        <v>5.0700000000000002E-2</v>
      </c>
    </row>
    <row r="41" spans="1:3" x14ac:dyDescent="0.25">
      <c r="A41" s="6" t="s">
        <v>52</v>
      </c>
      <c r="B41" s="7" t="s">
        <v>53</v>
      </c>
      <c r="C41" s="8">
        <v>5.7999999999999996E-3</v>
      </c>
    </row>
    <row r="42" spans="1:3" x14ac:dyDescent="0.25">
      <c r="A42" s="6"/>
      <c r="B42" s="9" t="s">
        <v>54</v>
      </c>
      <c r="C42" s="10">
        <f>SUM(C37:C41)</f>
        <v>0.16040000000000001</v>
      </c>
    </row>
    <row r="43" spans="1:3" ht="15.75" thickBot="1" x14ac:dyDescent="0.3">
      <c r="A43" s="11"/>
      <c r="B43" s="16"/>
      <c r="C43" s="17"/>
    </row>
    <row r="44" spans="1:3" ht="14.25" customHeight="1" thickTop="1" thickBot="1" x14ac:dyDescent="0.3">
      <c r="A44" s="418" t="s">
        <v>55</v>
      </c>
      <c r="B44" s="418"/>
      <c r="C44" s="14"/>
    </row>
    <row r="45" spans="1:3" ht="15.75" thickTop="1" x14ac:dyDescent="0.25">
      <c r="A45" s="3" t="s">
        <v>56</v>
      </c>
      <c r="B45" s="4" t="s">
        <v>57</v>
      </c>
      <c r="C45" s="15">
        <f>C21*C34</f>
        <v>8.4567799999999999E-2</v>
      </c>
    </row>
    <row r="46" spans="1:3" ht="24" x14ac:dyDescent="0.25">
      <c r="A46" s="3" t="s">
        <v>58</v>
      </c>
      <c r="B46" s="4" t="s">
        <v>59</v>
      </c>
      <c r="C46" s="5">
        <f>(C21*C38)+(C17*C37)</f>
        <v>6.2142000000000005E-3</v>
      </c>
    </row>
    <row r="47" spans="1:3" x14ac:dyDescent="0.25">
      <c r="A47" s="6"/>
      <c r="B47" s="9" t="s">
        <v>60</v>
      </c>
      <c r="C47" s="10">
        <f>SUM(C45:C46)</f>
        <v>9.0782000000000002E-2</v>
      </c>
    </row>
    <row r="48" spans="1:3" ht="15.75" thickBot="1" x14ac:dyDescent="0.3">
      <c r="A48" s="18"/>
      <c r="B48" s="19"/>
      <c r="C48" s="17"/>
    </row>
    <row r="49" spans="1:3" ht="14.25" customHeight="1" thickTop="1" thickBot="1" x14ac:dyDescent="0.3">
      <c r="A49" s="418" t="s">
        <v>61</v>
      </c>
      <c r="B49" s="418"/>
      <c r="C49" s="14"/>
    </row>
    <row r="50" spans="1:3" ht="15.75" thickTop="1" x14ac:dyDescent="0.25">
      <c r="A50" s="3" t="s">
        <v>62</v>
      </c>
      <c r="B50" s="4" t="s">
        <v>63</v>
      </c>
      <c r="C50" s="15">
        <v>0.23910000000000001</v>
      </c>
    </row>
    <row r="51" spans="1:3" x14ac:dyDescent="0.25">
      <c r="A51" s="3" t="s">
        <v>64</v>
      </c>
      <c r="B51" s="4" t="s">
        <v>65</v>
      </c>
      <c r="C51" s="5">
        <v>9.4500000000000001E-2</v>
      </c>
    </row>
    <row r="52" spans="1:3" ht="24" x14ac:dyDescent="0.25">
      <c r="A52" s="3" t="s">
        <v>66</v>
      </c>
      <c r="B52" s="4" t="s">
        <v>67</v>
      </c>
      <c r="C52" s="5">
        <v>2.7E-2</v>
      </c>
    </row>
    <row r="53" spans="1:3" x14ac:dyDescent="0.25">
      <c r="A53" s="3" t="s">
        <v>68</v>
      </c>
      <c r="B53" s="4" t="s">
        <v>69</v>
      </c>
      <c r="C53" s="5">
        <v>9.4700000000000006E-2</v>
      </c>
    </row>
    <row r="54" spans="1:3" x14ac:dyDescent="0.25">
      <c r="A54" s="6"/>
      <c r="B54" s="9" t="s">
        <v>60</v>
      </c>
      <c r="C54" s="10">
        <f>SUM(C50:C53)</f>
        <v>0.45530000000000004</v>
      </c>
    </row>
    <row r="55" spans="1:3" x14ac:dyDescent="0.25">
      <c r="A55" s="11"/>
      <c r="B55" s="12"/>
      <c r="C55" s="10"/>
    </row>
    <row r="56" spans="1:3" x14ac:dyDescent="0.25">
      <c r="A56" s="6"/>
      <c r="B56" s="9"/>
      <c r="C56" s="10"/>
    </row>
    <row r="57" spans="1:3" ht="15.75" thickBot="1" x14ac:dyDescent="0.3">
      <c r="A57" s="20"/>
      <c r="B57" s="21" t="s">
        <v>70</v>
      </c>
      <c r="C57" s="22">
        <f>C21+C34+C42+C47+C54</f>
        <v>1.3595820000000001</v>
      </c>
    </row>
    <row r="58" spans="1:3" ht="15.75" thickTop="1" x14ac:dyDescent="0.25">
      <c r="A58" s="23"/>
      <c r="B58" s="24"/>
      <c r="C58" s="25"/>
    </row>
    <row r="59" spans="1:3" ht="80.25" customHeight="1" x14ac:dyDescent="0.25">
      <c r="A59" s="420" t="s">
        <v>71</v>
      </c>
      <c r="B59" s="420"/>
      <c r="C59" s="420"/>
    </row>
    <row r="60" spans="1:3" ht="15" customHeight="1" x14ac:dyDescent="0.25">
      <c r="A60" s="421" t="s">
        <v>72</v>
      </c>
      <c r="B60" s="421"/>
      <c r="C60" s="421"/>
    </row>
    <row r="61" spans="1:3" x14ac:dyDescent="0.25">
      <c r="A61" s="416" t="s">
        <v>73</v>
      </c>
      <c r="B61" s="416"/>
      <c r="C61" s="416"/>
    </row>
    <row r="62" spans="1:3" x14ac:dyDescent="0.25">
      <c r="A62" s="416" t="s">
        <v>74</v>
      </c>
      <c r="B62" s="416"/>
      <c r="C62" s="416"/>
    </row>
    <row r="63" spans="1:3" x14ac:dyDescent="0.25">
      <c r="A63" s="417"/>
      <c r="B63" s="417"/>
      <c r="C63" s="417"/>
    </row>
    <row r="64" spans="1:3" x14ac:dyDescent="0.25">
      <c r="A64" s="416" t="s">
        <v>75</v>
      </c>
      <c r="B64" s="416"/>
      <c r="C64" s="416"/>
    </row>
    <row r="65" spans="1:3" x14ac:dyDescent="0.25">
      <c r="A65" s="419" t="s">
        <v>76</v>
      </c>
      <c r="B65" s="419"/>
      <c r="C65" s="419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33"/>
  <sheetViews>
    <sheetView view="pageBreakPreview" topLeftCell="A7" zoomScaleNormal="115" zoomScaleSheetLayoutView="100" workbookViewId="0">
      <selection activeCell="A5" sqref="A5:J5"/>
    </sheetView>
  </sheetViews>
  <sheetFormatPr defaultRowHeight="15" x14ac:dyDescent="0.2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 x14ac:dyDescent="0.3">
      <c r="A1" s="475" t="s">
        <v>77</v>
      </c>
      <c r="B1" s="476"/>
      <c r="C1" s="476"/>
      <c r="D1" s="476"/>
      <c r="E1" s="476"/>
      <c r="F1" s="476"/>
      <c r="G1" s="476"/>
      <c r="H1" s="476"/>
      <c r="I1" s="476"/>
      <c r="J1" s="477"/>
    </row>
    <row r="2" spans="1:10" ht="15.75" customHeight="1" x14ac:dyDescent="0.25">
      <c r="A2" s="478" t="s">
        <v>296</v>
      </c>
      <c r="B2" s="479"/>
      <c r="C2" s="479"/>
      <c r="D2" s="479"/>
      <c r="E2" s="479"/>
      <c r="F2" s="479"/>
      <c r="G2" s="479"/>
      <c r="H2" s="480" t="s">
        <v>685</v>
      </c>
      <c r="I2" s="481" t="s">
        <v>79</v>
      </c>
      <c r="J2" s="482"/>
    </row>
    <row r="3" spans="1:10" s="27" customFormat="1" ht="15.75" customHeight="1" x14ac:dyDescent="0.25">
      <c r="A3" s="478"/>
      <c r="B3" s="479"/>
      <c r="C3" s="479"/>
      <c r="D3" s="479"/>
      <c r="E3" s="479"/>
      <c r="F3" s="479"/>
      <c r="G3" s="479"/>
      <c r="H3" s="480"/>
      <c r="I3" s="481">
        <v>42313</v>
      </c>
      <c r="J3" s="482"/>
    </row>
    <row r="4" spans="1:10" ht="16.5" x14ac:dyDescent="0.25">
      <c r="A4" s="472" t="s">
        <v>80</v>
      </c>
      <c r="B4" s="473"/>
      <c r="C4" s="473"/>
      <c r="D4" s="473"/>
      <c r="E4" s="473"/>
      <c r="F4" s="473"/>
      <c r="G4" s="473"/>
      <c r="H4" s="473"/>
      <c r="I4" s="473"/>
      <c r="J4" s="474"/>
    </row>
    <row r="5" spans="1:10" ht="16.5" x14ac:dyDescent="0.25">
      <c r="A5" s="472" t="s">
        <v>81</v>
      </c>
      <c r="B5" s="473"/>
      <c r="C5" s="473"/>
      <c r="D5" s="473"/>
      <c r="E5" s="473"/>
      <c r="F5" s="473"/>
      <c r="G5" s="473"/>
      <c r="H5" s="473"/>
      <c r="I5" s="473"/>
      <c r="J5" s="474"/>
    </row>
    <row r="6" spans="1:10" ht="16.5" x14ac:dyDescent="0.25">
      <c r="A6" s="472" t="s">
        <v>82</v>
      </c>
      <c r="B6" s="473"/>
      <c r="C6" s="473"/>
      <c r="D6" s="473"/>
      <c r="E6" s="473"/>
      <c r="F6" s="473"/>
      <c r="G6" s="473"/>
      <c r="H6" s="473"/>
      <c r="I6" s="473"/>
      <c r="J6" s="474"/>
    </row>
    <row r="7" spans="1:10" ht="48" customHeight="1" x14ac:dyDescent="0.25">
      <c r="A7" s="483" t="s">
        <v>508</v>
      </c>
      <c r="B7" s="484"/>
      <c r="C7" s="484"/>
      <c r="D7" s="484"/>
      <c r="E7" s="484"/>
      <c r="F7" s="484"/>
      <c r="G7" s="484"/>
      <c r="H7" s="484"/>
      <c r="I7" s="484"/>
      <c r="J7" s="485"/>
    </row>
    <row r="8" spans="1:10" ht="48" customHeight="1" x14ac:dyDescent="0.25">
      <c r="A8" s="486"/>
      <c r="B8" s="487"/>
      <c r="C8" s="487"/>
      <c r="D8" s="487"/>
      <c r="E8" s="487"/>
      <c r="F8" s="487"/>
      <c r="G8" s="487"/>
      <c r="H8" s="487"/>
      <c r="I8" s="487"/>
      <c r="J8" s="488"/>
    </row>
    <row r="9" spans="1:10" x14ac:dyDescent="0.25">
      <c r="A9" s="254" t="s">
        <v>297</v>
      </c>
      <c r="B9" s="253" t="s">
        <v>298</v>
      </c>
      <c r="C9" s="253" t="s">
        <v>85</v>
      </c>
      <c r="D9" s="469" t="s">
        <v>299</v>
      </c>
      <c r="E9" s="469"/>
      <c r="F9" s="469"/>
      <c r="G9" s="469"/>
      <c r="H9" s="469"/>
      <c r="I9" s="253" t="s">
        <v>87</v>
      </c>
      <c r="J9" s="255" t="s">
        <v>300</v>
      </c>
    </row>
    <row r="10" spans="1:10" x14ac:dyDescent="0.25">
      <c r="A10" s="256" t="s">
        <v>92</v>
      </c>
      <c r="B10" s="470" t="s">
        <v>93</v>
      </c>
      <c r="C10" s="470"/>
      <c r="D10" s="470"/>
      <c r="E10" s="470"/>
      <c r="F10" s="470"/>
      <c r="G10" s="470"/>
      <c r="H10" s="470"/>
      <c r="I10" s="470"/>
      <c r="J10" s="471"/>
    </row>
    <row r="11" spans="1:10" ht="42" customHeight="1" x14ac:dyDescent="0.25">
      <c r="A11" s="232" t="s">
        <v>94</v>
      </c>
      <c r="B11" s="219" t="s">
        <v>301</v>
      </c>
      <c r="C11" s="219" t="s">
        <v>95</v>
      </c>
      <c r="D11" s="432" t="s">
        <v>509</v>
      </c>
      <c r="E11" s="432"/>
      <c r="F11" s="432"/>
      <c r="G11" s="432"/>
      <c r="H11" s="432"/>
      <c r="I11" s="219" t="s">
        <v>284</v>
      </c>
      <c r="J11" s="233">
        <f>H14</f>
        <v>12</v>
      </c>
    </row>
    <row r="12" spans="1:10" x14ac:dyDescent="0.25">
      <c r="A12" s="234"/>
      <c r="B12" s="221"/>
      <c r="C12" s="221"/>
      <c r="D12" s="439" t="s">
        <v>302</v>
      </c>
      <c r="E12" s="439"/>
      <c r="F12" s="439"/>
      <c r="G12" s="439"/>
      <c r="H12" s="439"/>
      <c r="I12" s="221"/>
      <c r="J12" s="235"/>
    </row>
    <row r="13" spans="1:10" x14ac:dyDescent="0.25">
      <c r="A13" s="234"/>
      <c r="B13" s="221"/>
      <c r="C13" s="221"/>
      <c r="D13" s="439" t="s">
        <v>303</v>
      </c>
      <c r="E13" s="439"/>
      <c r="F13" s="439" t="s">
        <v>304</v>
      </c>
      <c r="G13" s="439"/>
      <c r="H13" s="219" t="s">
        <v>305</v>
      </c>
      <c r="I13" s="221"/>
      <c r="J13" s="235"/>
    </row>
    <row r="14" spans="1:10" x14ac:dyDescent="0.25">
      <c r="A14" s="234"/>
      <c r="B14" s="221"/>
      <c r="C14" s="221"/>
      <c r="D14" s="449">
        <v>4</v>
      </c>
      <c r="E14" s="449"/>
      <c r="F14" s="449">
        <v>3</v>
      </c>
      <c r="G14" s="449"/>
      <c r="H14" s="222">
        <f>D14*F14</f>
        <v>12</v>
      </c>
      <c r="I14" s="221"/>
      <c r="J14" s="235"/>
    </row>
    <row r="15" spans="1:10" x14ac:dyDescent="0.25">
      <c r="A15" s="424"/>
      <c r="B15" s="425"/>
      <c r="C15" s="425"/>
      <c r="D15" s="425"/>
      <c r="E15" s="425"/>
      <c r="F15" s="425"/>
      <c r="G15" s="425"/>
      <c r="H15" s="425"/>
      <c r="I15" s="425"/>
      <c r="J15" s="426"/>
    </row>
    <row r="16" spans="1:10" x14ac:dyDescent="0.25">
      <c r="A16" s="232" t="s">
        <v>96</v>
      </c>
      <c r="B16" s="219" t="s">
        <v>306</v>
      </c>
      <c r="C16" s="219" t="s">
        <v>95</v>
      </c>
      <c r="D16" s="439" t="s">
        <v>510</v>
      </c>
      <c r="E16" s="439"/>
      <c r="F16" s="439"/>
      <c r="G16" s="439"/>
      <c r="H16" s="439"/>
      <c r="I16" s="219" t="s">
        <v>284</v>
      </c>
      <c r="J16" s="233">
        <f>H19</f>
        <v>8</v>
      </c>
    </row>
    <row r="17" spans="1:12" x14ac:dyDescent="0.25">
      <c r="A17" s="234"/>
      <c r="B17" s="221"/>
      <c r="C17" s="221"/>
      <c r="D17" s="439" t="s">
        <v>302</v>
      </c>
      <c r="E17" s="439"/>
      <c r="F17" s="439"/>
      <c r="G17" s="439"/>
      <c r="H17" s="439"/>
      <c r="I17" s="221"/>
      <c r="J17" s="235"/>
    </row>
    <row r="18" spans="1:12" x14ac:dyDescent="0.25">
      <c r="A18" s="234"/>
      <c r="B18" s="221"/>
      <c r="C18" s="221"/>
      <c r="D18" s="439" t="s">
        <v>303</v>
      </c>
      <c r="E18" s="439"/>
      <c r="F18" s="439" t="s">
        <v>304</v>
      </c>
      <c r="G18" s="439"/>
      <c r="H18" s="219" t="s">
        <v>305</v>
      </c>
      <c r="I18" s="221"/>
      <c r="J18" s="235"/>
      <c r="K18" s="29"/>
    </row>
    <row r="19" spans="1:12" x14ac:dyDescent="0.25">
      <c r="A19" s="234"/>
      <c r="B19" s="221"/>
      <c r="C19" s="221"/>
      <c r="D19" s="449">
        <v>2</v>
      </c>
      <c r="E19" s="449"/>
      <c r="F19" s="449">
        <v>4</v>
      </c>
      <c r="G19" s="449"/>
      <c r="H19" s="222">
        <f>D19*F19</f>
        <v>8</v>
      </c>
      <c r="I19" s="221"/>
      <c r="J19" s="235"/>
    </row>
    <row r="20" spans="1:12" x14ac:dyDescent="0.25">
      <c r="A20" s="424"/>
      <c r="B20" s="425"/>
      <c r="C20" s="425"/>
      <c r="D20" s="425"/>
      <c r="E20" s="425"/>
      <c r="F20" s="425"/>
      <c r="G20" s="425"/>
      <c r="H20" s="425"/>
      <c r="I20" s="425"/>
      <c r="J20" s="426"/>
      <c r="K20" s="29"/>
    </row>
    <row r="21" spans="1:12" ht="32.25" customHeight="1" x14ac:dyDescent="0.25">
      <c r="A21" s="232" t="s">
        <v>97</v>
      </c>
      <c r="B21" s="219" t="s">
        <v>307</v>
      </c>
      <c r="C21" s="219" t="s">
        <v>95</v>
      </c>
      <c r="D21" s="433" t="s">
        <v>511</v>
      </c>
      <c r="E21" s="433"/>
      <c r="F21" s="433"/>
      <c r="G21" s="433"/>
      <c r="H21" s="433"/>
      <c r="I21" s="219" t="s">
        <v>284</v>
      </c>
      <c r="J21" s="233">
        <f>H24</f>
        <v>266.75</v>
      </c>
      <c r="K21" s="29"/>
      <c r="L21" s="29"/>
    </row>
    <row r="22" spans="1:12" x14ac:dyDescent="0.25">
      <c r="A22" s="234"/>
      <c r="B22" s="221"/>
      <c r="C22" s="221"/>
      <c r="D22" s="439" t="s">
        <v>573</v>
      </c>
      <c r="E22" s="439"/>
      <c r="F22" s="439"/>
      <c r="G22" s="439"/>
      <c r="H22" s="439"/>
      <c r="I22" s="221"/>
      <c r="J22" s="235"/>
      <c r="K22" s="29"/>
    </row>
    <row r="23" spans="1:12" x14ac:dyDescent="0.25">
      <c r="A23" s="234"/>
      <c r="B23" s="221"/>
      <c r="C23" s="221"/>
      <c r="D23" s="439" t="s">
        <v>303</v>
      </c>
      <c r="E23" s="439"/>
      <c r="F23" s="439" t="s">
        <v>304</v>
      </c>
      <c r="G23" s="439"/>
      <c r="H23" s="219" t="s">
        <v>305</v>
      </c>
      <c r="I23" s="221"/>
      <c r="J23" s="235"/>
      <c r="K23" s="29"/>
    </row>
    <row r="24" spans="1:12" x14ac:dyDescent="0.25">
      <c r="A24" s="234"/>
      <c r="B24" s="221"/>
      <c r="C24" s="221"/>
      <c r="D24" s="449">
        <v>24.25</v>
      </c>
      <c r="E24" s="449"/>
      <c r="F24" s="449">
        <v>11</v>
      </c>
      <c r="G24" s="449"/>
      <c r="H24" s="222">
        <f>D24*F24</f>
        <v>266.75</v>
      </c>
      <c r="I24" s="221"/>
      <c r="J24" s="235"/>
      <c r="K24" s="29"/>
    </row>
    <row r="25" spans="1:12" x14ac:dyDescent="0.25">
      <c r="A25" s="424"/>
      <c r="B25" s="425"/>
      <c r="C25" s="425"/>
      <c r="D25" s="425"/>
      <c r="E25" s="425"/>
      <c r="F25" s="425"/>
      <c r="G25" s="425"/>
      <c r="H25" s="425"/>
      <c r="I25" s="425"/>
      <c r="J25" s="426"/>
      <c r="K25" s="29"/>
    </row>
    <row r="26" spans="1:12" ht="33.75" customHeight="1" x14ac:dyDescent="0.25">
      <c r="A26" s="232" t="s">
        <v>98</v>
      </c>
      <c r="B26" s="219" t="s">
        <v>308</v>
      </c>
      <c r="C26" s="219" t="s">
        <v>95</v>
      </c>
      <c r="D26" s="433" t="s">
        <v>309</v>
      </c>
      <c r="E26" s="433"/>
      <c r="F26" s="433"/>
      <c r="G26" s="433"/>
      <c r="H26" s="433"/>
      <c r="I26" s="219" t="s">
        <v>284</v>
      </c>
      <c r="J26" s="233">
        <f>I29</f>
        <v>148.05000000000001</v>
      </c>
      <c r="K26" s="29"/>
    </row>
    <row r="27" spans="1:12" x14ac:dyDescent="0.25">
      <c r="A27" s="234"/>
      <c r="B27" s="221"/>
      <c r="C27" s="221"/>
      <c r="D27" s="439" t="s">
        <v>310</v>
      </c>
      <c r="E27" s="439"/>
      <c r="F27" s="439"/>
      <c r="G27" s="439"/>
      <c r="H27" s="439"/>
      <c r="I27" s="221"/>
      <c r="J27" s="235"/>
      <c r="K27" s="29"/>
    </row>
    <row r="28" spans="1:12" x14ac:dyDescent="0.25">
      <c r="A28" s="234"/>
      <c r="B28" s="221"/>
      <c r="C28" s="221"/>
      <c r="D28" s="439" t="s">
        <v>303</v>
      </c>
      <c r="E28" s="439"/>
      <c r="F28" s="439" t="s">
        <v>304</v>
      </c>
      <c r="G28" s="439"/>
      <c r="H28" s="219" t="s">
        <v>311</v>
      </c>
      <c r="I28" s="219" t="s">
        <v>305</v>
      </c>
      <c r="J28" s="235"/>
      <c r="K28" s="29"/>
    </row>
    <row r="29" spans="1:12" x14ac:dyDescent="0.25">
      <c r="A29" s="234"/>
      <c r="B29" s="221"/>
      <c r="C29" s="221"/>
      <c r="D29" s="449">
        <v>24.25</v>
      </c>
      <c r="E29" s="449"/>
      <c r="F29" s="449">
        <v>11</v>
      </c>
      <c r="G29" s="449"/>
      <c r="H29" s="222">
        <v>2.1</v>
      </c>
      <c r="I29" s="221">
        <f>(2*D29+2*F29)*H29</f>
        <v>148.05000000000001</v>
      </c>
      <c r="J29" s="235"/>
    </row>
    <row r="30" spans="1:12" x14ac:dyDescent="0.25">
      <c r="A30" s="424"/>
      <c r="B30" s="425"/>
      <c r="C30" s="425"/>
      <c r="D30" s="425"/>
      <c r="E30" s="425"/>
      <c r="F30" s="425"/>
      <c r="G30" s="425"/>
      <c r="H30" s="425"/>
      <c r="I30" s="425"/>
      <c r="J30" s="426"/>
    </row>
    <row r="31" spans="1:12" ht="54" customHeight="1" x14ac:dyDescent="0.25">
      <c r="A31" s="232" t="s">
        <v>100</v>
      </c>
      <c r="B31" s="219">
        <v>20812</v>
      </c>
      <c r="C31" s="219"/>
      <c r="D31" s="433" t="s">
        <v>312</v>
      </c>
      <c r="E31" s="433"/>
      <c r="F31" s="433"/>
      <c r="G31" s="433"/>
      <c r="H31" s="433"/>
      <c r="I31" s="219" t="s">
        <v>313</v>
      </c>
      <c r="J31" s="233">
        <f>H34</f>
        <v>1</v>
      </c>
    </row>
    <row r="32" spans="1:12" x14ac:dyDescent="0.25">
      <c r="A32" s="234"/>
      <c r="B32" s="221"/>
      <c r="C32" s="221"/>
      <c r="D32" s="439" t="s">
        <v>302</v>
      </c>
      <c r="E32" s="439"/>
      <c r="F32" s="439"/>
      <c r="G32" s="439"/>
      <c r="H32" s="439"/>
      <c r="I32" s="221"/>
      <c r="J32" s="235"/>
    </row>
    <row r="33" spans="1:10" x14ac:dyDescent="0.25">
      <c r="A33" s="234"/>
      <c r="B33" s="221"/>
      <c r="C33" s="221"/>
      <c r="D33" s="439"/>
      <c r="E33" s="439"/>
      <c r="F33" s="439"/>
      <c r="G33" s="439"/>
      <c r="H33" s="219" t="s">
        <v>314</v>
      </c>
      <c r="I33" s="221"/>
      <c r="J33" s="235"/>
    </row>
    <row r="34" spans="1:10" x14ac:dyDescent="0.25">
      <c r="A34" s="234"/>
      <c r="B34" s="221"/>
      <c r="C34" s="221"/>
      <c r="D34" s="449"/>
      <c r="E34" s="449"/>
      <c r="F34" s="449"/>
      <c r="G34" s="449"/>
      <c r="H34" s="222">
        <v>1</v>
      </c>
      <c r="I34" s="221"/>
      <c r="J34" s="235"/>
    </row>
    <row r="35" spans="1:10" x14ac:dyDescent="0.25">
      <c r="A35" s="424"/>
      <c r="B35" s="425"/>
      <c r="C35" s="425"/>
      <c r="D35" s="425"/>
      <c r="E35" s="425"/>
      <c r="F35" s="425"/>
      <c r="G35" s="425"/>
      <c r="H35" s="425"/>
      <c r="I35" s="425"/>
      <c r="J35" s="426"/>
    </row>
    <row r="36" spans="1:10" ht="42" customHeight="1" x14ac:dyDescent="0.25">
      <c r="A36" s="232" t="s">
        <v>102</v>
      </c>
      <c r="B36" s="219">
        <v>20714</v>
      </c>
      <c r="C36" s="219"/>
      <c r="D36" s="433" t="s">
        <v>103</v>
      </c>
      <c r="E36" s="433"/>
      <c r="F36" s="433"/>
      <c r="G36" s="433"/>
      <c r="H36" s="433"/>
      <c r="I36" s="219" t="s">
        <v>313</v>
      </c>
      <c r="J36" s="233">
        <f>H39</f>
        <v>1</v>
      </c>
    </row>
    <row r="37" spans="1:10" x14ac:dyDescent="0.25">
      <c r="A37" s="234"/>
      <c r="B37" s="221"/>
      <c r="C37" s="221"/>
      <c r="D37" s="439" t="s">
        <v>302</v>
      </c>
      <c r="E37" s="439"/>
      <c r="F37" s="439"/>
      <c r="G37" s="439"/>
      <c r="H37" s="439"/>
      <c r="I37" s="221"/>
      <c r="J37" s="235"/>
    </row>
    <row r="38" spans="1:10" x14ac:dyDescent="0.25">
      <c r="A38" s="234"/>
      <c r="B38" s="221"/>
      <c r="C38" s="221"/>
      <c r="D38" s="439"/>
      <c r="E38" s="439"/>
      <c r="F38" s="439"/>
      <c r="G38" s="439"/>
      <c r="H38" s="219" t="s">
        <v>314</v>
      </c>
      <c r="I38" s="221"/>
      <c r="J38" s="235"/>
    </row>
    <row r="39" spans="1:10" x14ac:dyDescent="0.25">
      <c r="A39" s="234"/>
      <c r="B39" s="221"/>
      <c r="C39" s="221"/>
      <c r="D39" s="449"/>
      <c r="E39" s="449"/>
      <c r="F39" s="449"/>
      <c r="G39" s="449"/>
      <c r="H39" s="222">
        <v>1</v>
      </c>
      <c r="I39" s="221"/>
      <c r="J39" s="235"/>
    </row>
    <row r="40" spans="1:10" x14ac:dyDescent="0.25">
      <c r="A40" s="424"/>
      <c r="B40" s="425"/>
      <c r="C40" s="425"/>
      <c r="D40" s="425"/>
      <c r="E40" s="425"/>
      <c r="F40" s="425"/>
      <c r="G40" s="425"/>
      <c r="H40" s="425"/>
      <c r="I40" s="425"/>
      <c r="J40" s="426"/>
    </row>
    <row r="41" spans="1:10" ht="22.5" customHeight="1" x14ac:dyDescent="0.25">
      <c r="A41" s="232" t="s">
        <v>104</v>
      </c>
      <c r="B41" s="219" t="s">
        <v>315</v>
      </c>
      <c r="C41" s="219" t="s">
        <v>95</v>
      </c>
      <c r="D41" s="433" t="s">
        <v>105</v>
      </c>
      <c r="E41" s="433"/>
      <c r="F41" s="433"/>
      <c r="G41" s="433"/>
      <c r="H41" s="433"/>
      <c r="I41" s="219" t="s">
        <v>284</v>
      </c>
      <c r="J41" s="233">
        <f>H44</f>
        <v>266.75</v>
      </c>
    </row>
    <row r="42" spans="1:10" x14ac:dyDescent="0.25">
      <c r="A42" s="234"/>
      <c r="B42" s="221"/>
      <c r="C42" s="221"/>
      <c r="D42" s="439" t="s">
        <v>302</v>
      </c>
      <c r="E42" s="439"/>
      <c r="F42" s="439"/>
      <c r="G42" s="439"/>
      <c r="H42" s="439"/>
      <c r="I42" s="221"/>
      <c r="J42" s="235"/>
    </row>
    <row r="43" spans="1:10" x14ac:dyDescent="0.25">
      <c r="A43" s="234"/>
      <c r="B43" s="221"/>
      <c r="C43" s="221"/>
      <c r="D43" s="439" t="s">
        <v>303</v>
      </c>
      <c r="E43" s="439"/>
      <c r="F43" s="439" t="s">
        <v>304</v>
      </c>
      <c r="G43" s="439"/>
      <c r="H43" s="219" t="s">
        <v>305</v>
      </c>
      <c r="I43" s="221"/>
      <c r="J43" s="235"/>
    </row>
    <row r="44" spans="1:10" x14ac:dyDescent="0.25">
      <c r="A44" s="234"/>
      <c r="B44" s="221"/>
      <c r="C44" s="221"/>
      <c r="D44" s="449">
        <v>24.25</v>
      </c>
      <c r="E44" s="449"/>
      <c r="F44" s="449">
        <v>11</v>
      </c>
      <c r="G44" s="449"/>
      <c r="H44" s="222">
        <f>D44*F44</f>
        <v>266.75</v>
      </c>
      <c r="I44" s="221"/>
      <c r="J44" s="235"/>
    </row>
    <row r="45" spans="1:10" x14ac:dyDescent="0.25">
      <c r="A45" s="424"/>
      <c r="B45" s="425"/>
      <c r="C45" s="425"/>
      <c r="D45" s="425"/>
      <c r="E45" s="425"/>
      <c r="F45" s="425"/>
      <c r="G45" s="425"/>
      <c r="H45" s="425"/>
      <c r="I45" s="425"/>
      <c r="J45" s="426"/>
    </row>
    <row r="46" spans="1:10" x14ac:dyDescent="0.25">
      <c r="A46" s="231" t="s">
        <v>107</v>
      </c>
      <c r="B46" s="430" t="s">
        <v>108</v>
      </c>
      <c r="C46" s="430"/>
      <c r="D46" s="430"/>
      <c r="E46" s="430"/>
      <c r="F46" s="430"/>
      <c r="G46" s="430"/>
      <c r="H46" s="430"/>
      <c r="I46" s="430"/>
      <c r="J46" s="431"/>
    </row>
    <row r="47" spans="1:10" ht="15" customHeight="1" x14ac:dyDescent="0.25">
      <c r="A47" s="232" t="s">
        <v>109</v>
      </c>
      <c r="B47" s="219" t="s">
        <v>316</v>
      </c>
      <c r="C47" s="219" t="s">
        <v>95</v>
      </c>
      <c r="D47" s="433" t="s">
        <v>563</v>
      </c>
      <c r="E47" s="433"/>
      <c r="F47" s="433"/>
      <c r="G47" s="433"/>
      <c r="H47" s="433"/>
      <c r="I47" s="219" t="s">
        <v>317</v>
      </c>
      <c r="J47" s="236">
        <f>SUM(J50:J54)</f>
        <v>34.9895</v>
      </c>
    </row>
    <row r="48" spans="1:10" x14ac:dyDescent="0.25">
      <c r="A48" s="234"/>
      <c r="B48" s="221"/>
      <c r="C48" s="221"/>
      <c r="D48" s="439" t="s">
        <v>603</v>
      </c>
      <c r="E48" s="439"/>
      <c r="F48" s="439"/>
      <c r="G48" s="439"/>
      <c r="H48" s="439"/>
      <c r="I48" s="221"/>
      <c r="J48" s="235"/>
    </row>
    <row r="49" spans="1:10" x14ac:dyDescent="0.25">
      <c r="A49" s="234"/>
      <c r="B49" s="221"/>
      <c r="C49" s="221"/>
      <c r="D49" s="439" t="s">
        <v>318</v>
      </c>
      <c r="E49" s="439"/>
      <c r="F49" s="219" t="s">
        <v>319</v>
      </c>
      <c r="G49" s="219" t="s">
        <v>304</v>
      </c>
      <c r="H49" s="219" t="s">
        <v>303</v>
      </c>
      <c r="I49" s="219" t="s">
        <v>320</v>
      </c>
      <c r="J49" s="237" t="s">
        <v>305</v>
      </c>
    </row>
    <row r="50" spans="1:10" x14ac:dyDescent="0.25">
      <c r="A50" s="234"/>
      <c r="B50" s="221"/>
      <c r="C50" s="221"/>
      <c r="D50" s="449" t="s">
        <v>580</v>
      </c>
      <c r="E50" s="449"/>
      <c r="F50" s="223">
        <v>10</v>
      </c>
      <c r="G50" s="222">
        <v>0.8</v>
      </c>
      <c r="H50" s="222">
        <v>0.8</v>
      </c>
      <c r="I50" s="221">
        <v>1.65</v>
      </c>
      <c r="J50" s="238">
        <f>((G50+0.2)*(H50+0.2)*(I50+0.1))*F50</f>
        <v>17.5</v>
      </c>
    </row>
    <row r="51" spans="1:10" x14ac:dyDescent="0.25">
      <c r="A51" s="234"/>
      <c r="B51" s="221"/>
      <c r="C51" s="221"/>
      <c r="D51" s="449" t="s">
        <v>581</v>
      </c>
      <c r="E51" s="449"/>
      <c r="F51" s="223">
        <v>3</v>
      </c>
      <c r="G51" s="222">
        <v>0.15</v>
      </c>
      <c r="H51" s="222">
        <v>10.3</v>
      </c>
      <c r="I51" s="221">
        <v>0.4</v>
      </c>
      <c r="J51" s="294">
        <f>((G51+0.2)*(H51+0.2)*(I51+0.1))*F51</f>
        <v>5.5124999999999993</v>
      </c>
    </row>
    <row r="52" spans="1:10" x14ac:dyDescent="0.25">
      <c r="A52" s="234"/>
      <c r="B52" s="221"/>
      <c r="C52" s="221"/>
      <c r="D52" s="449" t="s">
        <v>582</v>
      </c>
      <c r="E52" s="449"/>
      <c r="F52" s="223">
        <v>1</v>
      </c>
      <c r="G52" s="222">
        <v>0.15</v>
      </c>
      <c r="H52" s="222">
        <v>7.7</v>
      </c>
      <c r="I52" s="221">
        <v>0.4</v>
      </c>
      <c r="J52" s="294">
        <f t="shared" ref="J52:J54" si="0">((G52+0.2)*(H52+0.2)*(I52+0.1))*F52</f>
        <v>1.3825000000000001</v>
      </c>
    </row>
    <row r="53" spans="1:10" ht="22.5" customHeight="1" x14ac:dyDescent="0.25">
      <c r="A53" s="234"/>
      <c r="B53" s="221"/>
      <c r="C53" s="221"/>
      <c r="D53" s="422" t="s">
        <v>583</v>
      </c>
      <c r="E53" s="423"/>
      <c r="F53" s="223">
        <v>9</v>
      </c>
      <c r="G53" s="222">
        <v>0.15</v>
      </c>
      <c r="H53" s="222">
        <v>5.75</v>
      </c>
      <c r="I53" s="221">
        <v>0.4</v>
      </c>
      <c r="J53" s="294">
        <f t="shared" si="0"/>
        <v>9.3712499999999999</v>
      </c>
    </row>
    <row r="54" spans="1:10" x14ac:dyDescent="0.25">
      <c r="A54" s="234"/>
      <c r="B54" s="221"/>
      <c r="C54" s="221"/>
      <c r="D54" s="449" t="s">
        <v>584</v>
      </c>
      <c r="E54" s="449"/>
      <c r="F54" s="223">
        <v>3</v>
      </c>
      <c r="G54" s="222">
        <v>0.15</v>
      </c>
      <c r="H54" s="222">
        <v>2.13</v>
      </c>
      <c r="I54" s="221">
        <v>0.4</v>
      </c>
      <c r="J54" s="294">
        <f t="shared" si="0"/>
        <v>1.2232499999999999</v>
      </c>
    </row>
    <row r="55" spans="1:10" x14ac:dyDescent="0.25">
      <c r="A55" s="424"/>
      <c r="B55" s="425"/>
      <c r="C55" s="425"/>
      <c r="D55" s="425"/>
      <c r="E55" s="425"/>
      <c r="F55" s="425"/>
      <c r="G55" s="425"/>
      <c r="H55" s="425"/>
      <c r="I55" s="425"/>
      <c r="J55" s="426"/>
    </row>
    <row r="56" spans="1:10" ht="15" customHeight="1" x14ac:dyDescent="0.25">
      <c r="A56" s="232" t="s">
        <v>111</v>
      </c>
      <c r="B56" s="219">
        <v>79482</v>
      </c>
      <c r="C56" s="219" t="s">
        <v>95</v>
      </c>
      <c r="D56" s="433" t="s">
        <v>564</v>
      </c>
      <c r="E56" s="433"/>
      <c r="F56" s="433"/>
      <c r="G56" s="433"/>
      <c r="H56" s="433"/>
      <c r="I56" s="219" t="s">
        <v>317</v>
      </c>
      <c r="J56" s="233">
        <f>SUM(J59:J59)</f>
        <v>3.9460500000000001</v>
      </c>
    </row>
    <row r="57" spans="1:10" x14ac:dyDescent="0.25">
      <c r="A57" s="234"/>
      <c r="B57" s="221"/>
      <c r="C57" s="221"/>
      <c r="D57" s="439" t="s">
        <v>321</v>
      </c>
      <c r="E57" s="439"/>
      <c r="F57" s="439"/>
      <c r="G57" s="439"/>
      <c r="H57" s="439"/>
      <c r="I57" s="221"/>
      <c r="J57" s="235"/>
    </row>
    <row r="58" spans="1:10" x14ac:dyDescent="0.25">
      <c r="A58" s="234"/>
      <c r="B58" s="221"/>
      <c r="C58" s="221"/>
      <c r="D58" s="439" t="s">
        <v>318</v>
      </c>
      <c r="E58" s="439"/>
      <c r="F58" s="439" t="s">
        <v>304</v>
      </c>
      <c r="G58" s="439"/>
      <c r="H58" s="219" t="s">
        <v>303</v>
      </c>
      <c r="I58" s="219" t="s">
        <v>320</v>
      </c>
      <c r="J58" s="237" t="s">
        <v>305</v>
      </c>
    </row>
    <row r="59" spans="1:10" x14ac:dyDescent="0.25">
      <c r="A59" s="234"/>
      <c r="B59" s="221"/>
      <c r="C59" s="221"/>
      <c r="D59" s="449" t="s">
        <v>322</v>
      </c>
      <c r="E59" s="449"/>
      <c r="F59" s="449">
        <v>3.7</v>
      </c>
      <c r="G59" s="449"/>
      <c r="H59" s="222">
        <v>2.37</v>
      </c>
      <c r="I59" s="221">
        <v>0.45</v>
      </c>
      <c r="J59" s="239">
        <f>I59*H59*F59</f>
        <v>3.9460500000000001</v>
      </c>
    </row>
    <row r="60" spans="1:10" x14ac:dyDescent="0.25">
      <c r="A60" s="424"/>
      <c r="B60" s="425"/>
      <c r="C60" s="425"/>
      <c r="D60" s="425"/>
      <c r="E60" s="425"/>
      <c r="F60" s="425"/>
      <c r="G60" s="425"/>
      <c r="H60" s="425"/>
      <c r="I60" s="425"/>
      <c r="J60" s="426"/>
    </row>
    <row r="61" spans="1:10" ht="15" customHeight="1" x14ac:dyDescent="0.25">
      <c r="A61" s="232" t="s">
        <v>113</v>
      </c>
      <c r="B61" s="219" t="s">
        <v>323</v>
      </c>
      <c r="C61" s="219" t="s">
        <v>95</v>
      </c>
      <c r="D61" s="433" t="s">
        <v>114</v>
      </c>
      <c r="E61" s="433"/>
      <c r="F61" s="433"/>
      <c r="G61" s="433"/>
      <c r="H61" s="433"/>
      <c r="I61" s="219" t="s">
        <v>317</v>
      </c>
      <c r="J61" s="233">
        <f>I66</f>
        <v>18.899089999999998</v>
      </c>
    </row>
    <row r="62" spans="1:10" x14ac:dyDescent="0.25">
      <c r="A62" s="234"/>
      <c r="B62" s="221"/>
      <c r="C62" s="221"/>
      <c r="D62" s="439" t="s">
        <v>574</v>
      </c>
      <c r="E62" s="439"/>
      <c r="F62" s="439"/>
      <c r="G62" s="439"/>
      <c r="H62" s="439"/>
      <c r="I62" s="221"/>
      <c r="J62" s="235"/>
    </row>
    <row r="63" spans="1:10" x14ac:dyDescent="0.25">
      <c r="A63" s="234"/>
      <c r="B63" s="221"/>
      <c r="C63" s="221"/>
      <c r="D63" s="439" t="s">
        <v>318</v>
      </c>
      <c r="E63" s="439"/>
      <c r="F63" s="219" t="s">
        <v>319</v>
      </c>
      <c r="G63" s="219" t="s">
        <v>304</v>
      </c>
      <c r="H63" s="219" t="s">
        <v>303</v>
      </c>
      <c r="I63" s="219" t="s">
        <v>320</v>
      </c>
      <c r="J63" s="237" t="s">
        <v>305</v>
      </c>
    </row>
    <row r="64" spans="1:10" x14ac:dyDescent="0.25">
      <c r="A64" s="234"/>
      <c r="B64" s="221"/>
      <c r="C64" s="221"/>
      <c r="D64" s="222"/>
      <c r="E64" s="222"/>
      <c r="F64" s="464" t="s">
        <v>422</v>
      </c>
      <c r="G64" s="465"/>
      <c r="H64" s="466"/>
      <c r="I64" s="449">
        <f>J84</f>
        <v>16.090410000000002</v>
      </c>
      <c r="J64" s="451"/>
    </row>
    <row r="65" spans="1:10" x14ac:dyDescent="0.25">
      <c r="A65" s="234"/>
      <c r="B65" s="221"/>
      <c r="C65" s="221"/>
      <c r="D65" s="222"/>
      <c r="E65" s="222"/>
      <c r="F65" s="464" t="s">
        <v>324</v>
      </c>
      <c r="G65" s="465"/>
      <c r="H65" s="466"/>
      <c r="I65" s="467">
        <f>J47</f>
        <v>34.9895</v>
      </c>
      <c r="J65" s="468"/>
    </row>
    <row r="66" spans="1:10" x14ac:dyDescent="0.25">
      <c r="A66" s="234"/>
      <c r="B66" s="221"/>
      <c r="C66" s="221"/>
      <c r="D66" s="222"/>
      <c r="E66" s="222"/>
      <c r="F66" s="464" t="s">
        <v>325</v>
      </c>
      <c r="G66" s="465"/>
      <c r="H66" s="466"/>
      <c r="I66" s="462">
        <f>I65-I64</f>
        <v>18.899089999999998</v>
      </c>
      <c r="J66" s="463"/>
    </row>
    <row r="67" spans="1:10" x14ac:dyDescent="0.25">
      <c r="A67" s="234"/>
      <c r="B67" s="221"/>
      <c r="C67" s="221"/>
      <c r="D67" s="222"/>
      <c r="E67" s="222"/>
      <c r="F67" s="222"/>
      <c r="G67" s="222"/>
      <c r="H67" s="222"/>
      <c r="I67" s="221"/>
      <c r="J67" s="235"/>
    </row>
    <row r="68" spans="1:10" x14ac:dyDescent="0.25">
      <c r="A68" s="424"/>
      <c r="B68" s="425"/>
      <c r="C68" s="425"/>
      <c r="D68" s="425"/>
      <c r="E68" s="425"/>
      <c r="F68" s="425"/>
      <c r="G68" s="425"/>
      <c r="H68" s="425"/>
      <c r="I68" s="425"/>
      <c r="J68" s="426"/>
    </row>
    <row r="69" spans="1:10" x14ac:dyDescent="0.25">
      <c r="A69" s="231" t="s">
        <v>115</v>
      </c>
      <c r="B69" s="430" t="s">
        <v>326</v>
      </c>
      <c r="C69" s="430"/>
      <c r="D69" s="430"/>
      <c r="E69" s="430"/>
      <c r="F69" s="430"/>
      <c r="G69" s="430"/>
      <c r="H69" s="430"/>
      <c r="I69" s="430"/>
      <c r="J69" s="431"/>
    </row>
    <row r="70" spans="1:10" ht="26.25" customHeight="1" x14ac:dyDescent="0.25">
      <c r="A70" s="232" t="s">
        <v>117</v>
      </c>
      <c r="B70" s="219" t="s">
        <v>342</v>
      </c>
      <c r="C70" s="219" t="s">
        <v>95</v>
      </c>
      <c r="D70" s="433" t="s">
        <v>512</v>
      </c>
      <c r="E70" s="433"/>
      <c r="F70" s="433"/>
      <c r="G70" s="433"/>
      <c r="H70" s="433"/>
      <c r="I70" s="219" t="s">
        <v>284</v>
      </c>
      <c r="J70" s="233">
        <f>SUM(J73:J77)</f>
        <v>35.844500000000004</v>
      </c>
    </row>
    <row r="71" spans="1:10" x14ac:dyDescent="0.25">
      <c r="A71" s="234"/>
      <c r="B71" s="221"/>
      <c r="C71" s="221"/>
      <c r="D71" s="439" t="s">
        <v>576</v>
      </c>
      <c r="E71" s="439"/>
      <c r="F71" s="439"/>
      <c r="G71" s="439"/>
      <c r="H71" s="439"/>
      <c r="I71" s="221"/>
      <c r="J71" s="235"/>
    </row>
    <row r="72" spans="1:10" x14ac:dyDescent="0.25">
      <c r="A72" s="234"/>
      <c r="B72" s="221"/>
      <c r="C72" s="221"/>
      <c r="D72" s="439" t="s">
        <v>318</v>
      </c>
      <c r="E72" s="439"/>
      <c r="F72" s="219" t="s">
        <v>319</v>
      </c>
      <c r="G72" s="219" t="s">
        <v>304</v>
      </c>
      <c r="H72" s="219" t="s">
        <v>303</v>
      </c>
      <c r="I72" s="219" t="s">
        <v>320</v>
      </c>
      <c r="J72" s="237" t="s">
        <v>305</v>
      </c>
    </row>
    <row r="73" spans="1:10" x14ac:dyDescent="0.25">
      <c r="A73" s="234"/>
      <c r="B73" s="221"/>
      <c r="C73" s="221"/>
      <c r="D73" s="449" t="s">
        <v>580</v>
      </c>
      <c r="E73" s="449"/>
      <c r="F73" s="223">
        <v>8</v>
      </c>
      <c r="G73" s="222">
        <v>0.8</v>
      </c>
      <c r="H73" s="222">
        <v>0.8</v>
      </c>
      <c r="I73" s="221">
        <v>0.03</v>
      </c>
      <c r="J73" s="238">
        <f>G73*H73*F73</f>
        <v>5.120000000000001</v>
      </c>
    </row>
    <row r="74" spans="1:10" s="27" customFormat="1" x14ac:dyDescent="0.25">
      <c r="A74" s="277"/>
      <c r="B74" s="278"/>
      <c r="C74" s="278"/>
      <c r="D74" s="449" t="s">
        <v>581</v>
      </c>
      <c r="E74" s="449"/>
      <c r="F74" s="223">
        <v>3</v>
      </c>
      <c r="G74" s="281">
        <v>0.15</v>
      </c>
      <c r="H74" s="281">
        <v>10.3</v>
      </c>
      <c r="I74" s="278">
        <v>0.03</v>
      </c>
      <c r="J74" s="284">
        <f t="shared" ref="J74:J77" si="1">G74*H74*F74</f>
        <v>4.6350000000000007</v>
      </c>
    </row>
    <row r="75" spans="1:10" s="27" customFormat="1" x14ac:dyDescent="0.25">
      <c r="A75" s="277"/>
      <c r="B75" s="278"/>
      <c r="C75" s="278"/>
      <c r="D75" s="449" t="s">
        <v>582</v>
      </c>
      <c r="E75" s="449"/>
      <c r="F75" s="223">
        <v>1</v>
      </c>
      <c r="G75" s="281">
        <v>0.15</v>
      </c>
      <c r="H75" s="281">
        <v>7.7</v>
      </c>
      <c r="I75" s="278">
        <v>0.03</v>
      </c>
      <c r="J75" s="284">
        <f t="shared" si="1"/>
        <v>1.155</v>
      </c>
    </row>
    <row r="76" spans="1:10" s="27" customFormat="1" ht="25.5" customHeight="1" x14ac:dyDescent="0.25">
      <c r="A76" s="277"/>
      <c r="B76" s="278"/>
      <c r="C76" s="278"/>
      <c r="D76" s="422" t="s">
        <v>583</v>
      </c>
      <c r="E76" s="423"/>
      <c r="F76" s="223">
        <v>9</v>
      </c>
      <c r="G76" s="281">
        <v>0.15</v>
      </c>
      <c r="H76" s="281">
        <v>10.65</v>
      </c>
      <c r="I76" s="278">
        <v>0.03</v>
      </c>
      <c r="J76" s="284">
        <f t="shared" si="1"/>
        <v>14.3775</v>
      </c>
    </row>
    <row r="77" spans="1:10" s="27" customFormat="1" x14ac:dyDescent="0.25">
      <c r="A77" s="277"/>
      <c r="B77" s="278"/>
      <c r="C77" s="278"/>
      <c r="D77" s="449" t="s">
        <v>584</v>
      </c>
      <c r="E77" s="449"/>
      <c r="F77" s="223">
        <v>3</v>
      </c>
      <c r="G77" s="281">
        <v>0.15</v>
      </c>
      <c r="H77" s="281">
        <v>23.46</v>
      </c>
      <c r="I77" s="278">
        <v>0.03</v>
      </c>
      <c r="J77" s="284">
        <f t="shared" si="1"/>
        <v>10.557</v>
      </c>
    </row>
    <row r="78" spans="1:10" x14ac:dyDescent="0.25">
      <c r="A78" s="424"/>
      <c r="B78" s="425"/>
      <c r="C78" s="425"/>
      <c r="D78" s="425"/>
      <c r="E78" s="425"/>
      <c r="F78" s="425"/>
      <c r="G78" s="425"/>
      <c r="H78" s="425"/>
      <c r="I78" s="425"/>
      <c r="J78" s="426"/>
    </row>
    <row r="79" spans="1:10" ht="28.5" customHeight="1" x14ac:dyDescent="0.25">
      <c r="A79" s="232" t="s">
        <v>118</v>
      </c>
      <c r="B79" s="219">
        <v>5651</v>
      </c>
      <c r="C79" s="219" t="s">
        <v>95</v>
      </c>
      <c r="D79" s="433" t="s">
        <v>565</v>
      </c>
      <c r="E79" s="433"/>
      <c r="F79" s="433"/>
      <c r="G79" s="433"/>
      <c r="H79" s="433"/>
      <c r="I79" s="219" t="s">
        <v>284</v>
      </c>
      <c r="J79" s="233">
        <f>SUM(J82:J82)</f>
        <v>33.92</v>
      </c>
    </row>
    <row r="80" spans="1:10" x14ac:dyDescent="0.25">
      <c r="A80" s="234"/>
      <c r="B80" s="221"/>
      <c r="C80" s="221"/>
      <c r="D80" s="439" t="s">
        <v>577</v>
      </c>
      <c r="E80" s="439"/>
      <c r="F80" s="439"/>
      <c r="G80" s="439"/>
      <c r="H80" s="439"/>
      <c r="I80" s="221"/>
      <c r="J80" s="235"/>
    </row>
    <row r="81" spans="1:12" x14ac:dyDescent="0.25">
      <c r="A81" s="234"/>
      <c r="B81" s="221"/>
      <c r="C81" s="219" t="s">
        <v>319</v>
      </c>
      <c r="D81" s="439" t="s">
        <v>318</v>
      </c>
      <c r="E81" s="439"/>
      <c r="F81" s="219" t="s">
        <v>319</v>
      </c>
      <c r="G81" s="219" t="s">
        <v>304</v>
      </c>
      <c r="H81" s="219" t="s">
        <v>303</v>
      </c>
      <c r="I81" s="219" t="s">
        <v>320</v>
      </c>
      <c r="J81" s="237" t="s">
        <v>305</v>
      </c>
    </row>
    <row r="82" spans="1:12" x14ac:dyDescent="0.25">
      <c r="A82" s="234"/>
      <c r="B82" s="221"/>
      <c r="C82" s="223"/>
      <c r="D82" s="449" t="s">
        <v>580</v>
      </c>
      <c r="E82" s="449"/>
      <c r="F82" s="223">
        <v>8</v>
      </c>
      <c r="G82" s="222">
        <v>0.8</v>
      </c>
      <c r="H82" s="222">
        <v>0.8</v>
      </c>
      <c r="I82" s="221">
        <v>1.65</v>
      </c>
      <c r="J82" s="235">
        <f>((G82*2)+(H82*2)*I82)*F82</f>
        <v>33.92</v>
      </c>
    </row>
    <row r="83" spans="1:12" x14ac:dyDescent="0.25">
      <c r="A83" s="424"/>
      <c r="B83" s="425"/>
      <c r="C83" s="425"/>
      <c r="D83" s="425"/>
      <c r="E83" s="425"/>
      <c r="F83" s="425"/>
      <c r="G83" s="425"/>
      <c r="H83" s="425"/>
      <c r="I83" s="425"/>
      <c r="J83" s="426"/>
    </row>
    <row r="84" spans="1:12" s="128" customFormat="1" ht="31.5" customHeight="1" x14ac:dyDescent="0.25">
      <c r="A84" s="240" t="s">
        <v>119</v>
      </c>
      <c r="B84" s="225" t="s">
        <v>655</v>
      </c>
      <c r="C84" s="225" t="s">
        <v>95</v>
      </c>
      <c r="D84" s="461" t="s">
        <v>656</v>
      </c>
      <c r="E84" s="461"/>
      <c r="F84" s="461"/>
      <c r="G84" s="461"/>
      <c r="H84" s="461"/>
      <c r="I84" s="225" t="s">
        <v>317</v>
      </c>
      <c r="J84" s="241">
        <f>SUM(J87:J91)</f>
        <v>16.090410000000002</v>
      </c>
    </row>
    <row r="85" spans="1:12" x14ac:dyDescent="0.25">
      <c r="A85" s="234"/>
      <c r="B85" s="221"/>
      <c r="C85" s="221"/>
      <c r="D85" s="439" t="s">
        <v>604</v>
      </c>
      <c r="E85" s="439"/>
      <c r="F85" s="439"/>
      <c r="G85" s="439"/>
      <c r="H85" s="439"/>
      <c r="I85" s="221"/>
      <c r="J85" s="235"/>
    </row>
    <row r="86" spans="1:12" x14ac:dyDescent="0.25">
      <c r="A86" s="234"/>
      <c r="B86" s="221"/>
      <c r="C86" s="221"/>
      <c r="D86" s="439" t="s">
        <v>318</v>
      </c>
      <c r="E86" s="439"/>
      <c r="F86" s="219" t="s">
        <v>327</v>
      </c>
      <c r="G86" s="280" t="s">
        <v>585</v>
      </c>
      <c r="H86" s="291" t="s">
        <v>311</v>
      </c>
      <c r="I86" s="276" t="s">
        <v>421</v>
      </c>
      <c r="J86" s="237" t="s">
        <v>305</v>
      </c>
    </row>
    <row r="87" spans="1:12" x14ac:dyDescent="0.25">
      <c r="A87" s="234"/>
      <c r="B87" s="221"/>
      <c r="C87" s="221"/>
      <c r="D87" s="449" t="s">
        <v>580</v>
      </c>
      <c r="E87" s="449"/>
      <c r="F87" s="223">
        <v>10</v>
      </c>
      <c r="G87" s="222">
        <f>0.8*0.8</f>
        <v>0.64000000000000012</v>
      </c>
      <c r="H87" s="222">
        <v>1.65</v>
      </c>
      <c r="I87" s="221">
        <v>1</v>
      </c>
      <c r="J87" s="292">
        <f>F87*G87*H87*I87</f>
        <v>10.560000000000002</v>
      </c>
      <c r="L87" s="27"/>
    </row>
    <row r="88" spans="1:12" x14ac:dyDescent="0.25">
      <c r="A88" s="234"/>
      <c r="B88" s="221"/>
      <c r="C88" s="221"/>
      <c r="D88" s="449" t="s">
        <v>581</v>
      </c>
      <c r="E88" s="449"/>
      <c r="F88" s="223">
        <v>3</v>
      </c>
      <c r="G88" s="299">
        <v>1.35E-2</v>
      </c>
      <c r="H88" s="281">
        <v>10.3</v>
      </c>
      <c r="I88" s="221">
        <v>2</v>
      </c>
      <c r="J88" s="239">
        <f>F88*G88*H88*I88</f>
        <v>0.83430000000000004</v>
      </c>
    </row>
    <row r="89" spans="1:12" x14ac:dyDescent="0.25">
      <c r="A89" s="234"/>
      <c r="B89" s="221"/>
      <c r="C89" s="221"/>
      <c r="D89" s="449" t="s">
        <v>582</v>
      </c>
      <c r="E89" s="449"/>
      <c r="F89" s="223">
        <v>1</v>
      </c>
      <c r="G89" s="299">
        <v>1.35E-2</v>
      </c>
      <c r="H89" s="281">
        <v>7.7</v>
      </c>
      <c r="I89" s="278">
        <v>2</v>
      </c>
      <c r="J89" s="283">
        <f t="shared" ref="J89:J91" si="2">F89*G89*H89*I89</f>
        <v>0.2079</v>
      </c>
    </row>
    <row r="90" spans="1:12" s="27" customFormat="1" ht="28.5" customHeight="1" x14ac:dyDescent="0.25">
      <c r="A90" s="234"/>
      <c r="B90" s="221"/>
      <c r="C90" s="221"/>
      <c r="D90" s="422" t="s">
        <v>583</v>
      </c>
      <c r="E90" s="423"/>
      <c r="F90" s="223">
        <v>9</v>
      </c>
      <c r="G90" s="299">
        <v>1.35E-2</v>
      </c>
      <c r="H90" s="281">
        <v>10.65</v>
      </c>
      <c r="I90" s="278">
        <v>2</v>
      </c>
      <c r="J90" s="283">
        <f t="shared" si="2"/>
        <v>2.5879500000000002</v>
      </c>
    </row>
    <row r="91" spans="1:12" s="27" customFormat="1" ht="30.75" customHeight="1" x14ac:dyDescent="0.25">
      <c r="A91" s="234"/>
      <c r="B91" s="221"/>
      <c r="C91" s="221"/>
      <c r="D91" s="449" t="s">
        <v>584</v>
      </c>
      <c r="E91" s="449"/>
      <c r="F91" s="223">
        <v>3</v>
      </c>
      <c r="G91" s="299">
        <v>1.35E-2</v>
      </c>
      <c r="H91" s="281">
        <v>23.46</v>
      </c>
      <c r="I91" s="278">
        <v>2</v>
      </c>
      <c r="J91" s="283">
        <f t="shared" si="2"/>
        <v>1.9002600000000001</v>
      </c>
    </row>
    <row r="92" spans="1:12" x14ac:dyDescent="0.25">
      <c r="A92" s="424"/>
      <c r="B92" s="425"/>
      <c r="C92" s="425"/>
      <c r="D92" s="425"/>
      <c r="E92" s="425"/>
      <c r="F92" s="425"/>
      <c r="G92" s="425"/>
      <c r="H92" s="425"/>
      <c r="I92" s="425"/>
      <c r="J92" s="426"/>
    </row>
    <row r="93" spans="1:12" ht="24.75" customHeight="1" x14ac:dyDescent="0.25">
      <c r="A93" s="232" t="s">
        <v>120</v>
      </c>
      <c r="B93" s="219" t="s">
        <v>328</v>
      </c>
      <c r="C93" s="219" t="s">
        <v>95</v>
      </c>
      <c r="D93" s="433" t="s">
        <v>566</v>
      </c>
      <c r="E93" s="433"/>
      <c r="F93" s="433"/>
      <c r="G93" s="433"/>
      <c r="H93" s="433"/>
      <c r="I93" s="219" t="s">
        <v>284</v>
      </c>
      <c r="J93" s="233">
        <f>SUM(J96:J100)</f>
        <v>194.58850000000001</v>
      </c>
    </row>
    <row r="94" spans="1:12" x14ac:dyDescent="0.25">
      <c r="A94" s="234"/>
      <c r="B94" s="221"/>
      <c r="C94" s="221"/>
      <c r="D94" s="439" t="s">
        <v>607</v>
      </c>
      <c r="E94" s="439"/>
      <c r="F94" s="439"/>
      <c r="G94" s="439"/>
      <c r="H94" s="439"/>
      <c r="I94" s="221"/>
      <c r="J94" s="235"/>
    </row>
    <row r="95" spans="1:12" x14ac:dyDescent="0.25">
      <c r="A95" s="234"/>
      <c r="B95" s="221"/>
      <c r="C95" s="221"/>
      <c r="D95" s="439" t="s">
        <v>318</v>
      </c>
      <c r="E95" s="439"/>
      <c r="F95" s="274" t="s">
        <v>327</v>
      </c>
      <c r="G95" s="274" t="s">
        <v>575</v>
      </c>
      <c r="H95" s="219" t="s">
        <v>303</v>
      </c>
      <c r="I95" s="219" t="s">
        <v>320</v>
      </c>
      <c r="J95" s="237" t="s">
        <v>305</v>
      </c>
    </row>
    <row r="96" spans="1:12" x14ac:dyDescent="0.25">
      <c r="A96" s="234"/>
      <c r="B96" s="221"/>
      <c r="C96" s="221"/>
      <c r="D96" s="449" t="s">
        <v>581</v>
      </c>
      <c r="E96" s="449"/>
      <c r="F96" s="223">
        <v>3</v>
      </c>
      <c r="G96" s="222">
        <v>2</v>
      </c>
      <c r="H96" s="281">
        <v>10.3</v>
      </c>
      <c r="I96" s="221">
        <v>0.4</v>
      </c>
      <c r="J96" s="238">
        <f>F96*G96*H96*I96</f>
        <v>24.720000000000002</v>
      </c>
    </row>
    <row r="97" spans="1:10" x14ac:dyDescent="0.25">
      <c r="A97" s="234"/>
      <c r="B97" s="221"/>
      <c r="C97" s="221"/>
      <c r="D97" s="449" t="s">
        <v>582</v>
      </c>
      <c r="E97" s="449"/>
      <c r="F97" s="223">
        <v>1</v>
      </c>
      <c r="G97" s="222">
        <v>2</v>
      </c>
      <c r="H97" s="281">
        <v>7.7</v>
      </c>
      <c r="I97" s="221">
        <v>0.4</v>
      </c>
      <c r="J97" s="238">
        <f t="shared" ref="J97:J100" si="3">F97*G97*H97*I97</f>
        <v>6.16</v>
      </c>
    </row>
    <row r="98" spans="1:10" ht="23.25" customHeight="1" x14ac:dyDescent="0.25">
      <c r="A98" s="234"/>
      <c r="B98" s="221"/>
      <c r="C98" s="221"/>
      <c r="D98" s="422" t="s">
        <v>583</v>
      </c>
      <c r="E98" s="423"/>
      <c r="F98" s="223">
        <v>9</v>
      </c>
      <c r="G98" s="222">
        <v>2</v>
      </c>
      <c r="H98" s="281">
        <v>10.65</v>
      </c>
      <c r="I98" s="221">
        <v>0.4</v>
      </c>
      <c r="J98" s="238">
        <f t="shared" si="3"/>
        <v>76.680000000000007</v>
      </c>
    </row>
    <row r="99" spans="1:10" ht="15" customHeight="1" x14ac:dyDescent="0.25">
      <c r="A99" s="234"/>
      <c r="B99" s="221"/>
      <c r="C99" s="221"/>
      <c r="D99" s="449" t="s">
        <v>584</v>
      </c>
      <c r="E99" s="449"/>
      <c r="F99" s="223">
        <v>3</v>
      </c>
      <c r="G99" s="222">
        <v>2</v>
      </c>
      <c r="H99" s="281">
        <v>23.46</v>
      </c>
      <c r="I99" s="221">
        <v>0.4</v>
      </c>
      <c r="J99" s="238">
        <f t="shared" si="3"/>
        <v>56.304000000000002</v>
      </c>
    </row>
    <row r="100" spans="1:10" s="27" customFormat="1" x14ac:dyDescent="0.25">
      <c r="A100" s="234"/>
      <c r="B100" s="221"/>
      <c r="C100" s="221"/>
      <c r="D100" s="449" t="s">
        <v>605</v>
      </c>
      <c r="E100" s="449"/>
      <c r="F100" s="223">
        <v>1</v>
      </c>
      <c r="G100" s="222">
        <v>1</v>
      </c>
      <c r="H100" s="222">
        <f>(H96*F96)+(H97*F97)+(H98*F98)+(H99*F99)</f>
        <v>204.83</v>
      </c>
      <c r="I100" s="221">
        <v>0.15</v>
      </c>
      <c r="J100" s="294">
        <f t="shared" si="3"/>
        <v>30.724499999999999</v>
      </c>
    </row>
    <row r="101" spans="1:10" s="129" customFormat="1" ht="41.25" customHeight="1" x14ac:dyDescent="0.25">
      <c r="A101" s="362" t="s">
        <v>121</v>
      </c>
      <c r="B101" s="363">
        <v>87449</v>
      </c>
      <c r="C101" s="363" t="s">
        <v>95</v>
      </c>
      <c r="D101" s="452" t="s">
        <v>625</v>
      </c>
      <c r="E101" s="452"/>
      <c r="F101" s="452"/>
      <c r="G101" s="452"/>
      <c r="H101" s="452"/>
      <c r="I101" s="358" t="s">
        <v>284</v>
      </c>
      <c r="J101" s="359">
        <f>J109</f>
        <v>82.251999999999995</v>
      </c>
    </row>
    <row r="102" spans="1:10" s="27" customFormat="1" x14ac:dyDescent="0.25">
      <c r="A102" s="287"/>
      <c r="B102" s="288"/>
      <c r="C102" s="288"/>
      <c r="D102" s="439" t="s">
        <v>607</v>
      </c>
      <c r="E102" s="439"/>
      <c r="F102" s="439"/>
      <c r="G102" s="439"/>
      <c r="H102" s="439"/>
      <c r="I102" s="288"/>
      <c r="J102" s="289"/>
    </row>
    <row r="103" spans="1:10" s="27" customFormat="1" x14ac:dyDescent="0.25">
      <c r="A103" s="287"/>
      <c r="B103" s="288"/>
      <c r="C103" s="288"/>
      <c r="D103" s="439" t="s">
        <v>318</v>
      </c>
      <c r="E103" s="439"/>
      <c r="F103" s="290" t="s">
        <v>327</v>
      </c>
      <c r="G103" s="290" t="s">
        <v>575</v>
      </c>
      <c r="H103" s="290" t="s">
        <v>303</v>
      </c>
      <c r="I103" s="290" t="s">
        <v>320</v>
      </c>
      <c r="J103" s="237" t="s">
        <v>305</v>
      </c>
    </row>
    <row r="104" spans="1:10" s="27" customFormat="1" x14ac:dyDescent="0.25">
      <c r="A104" s="287"/>
      <c r="B104" s="288"/>
      <c r="C104" s="288"/>
      <c r="D104" s="449" t="s">
        <v>581</v>
      </c>
      <c r="E104" s="449"/>
      <c r="F104" s="223">
        <v>3</v>
      </c>
      <c r="G104" s="286">
        <v>1</v>
      </c>
      <c r="H104" s="286">
        <v>10.3</v>
      </c>
      <c r="I104" s="288">
        <v>0.4</v>
      </c>
      <c r="J104" s="294">
        <f>F104*G104*H104*I104</f>
        <v>12.360000000000001</v>
      </c>
    </row>
    <row r="105" spans="1:10" s="27" customFormat="1" x14ac:dyDescent="0.25">
      <c r="A105" s="287"/>
      <c r="B105" s="288"/>
      <c r="C105" s="288"/>
      <c r="D105" s="449" t="s">
        <v>582</v>
      </c>
      <c r="E105" s="449"/>
      <c r="F105" s="223">
        <v>1</v>
      </c>
      <c r="G105" s="286">
        <v>1</v>
      </c>
      <c r="H105" s="286">
        <v>7.7</v>
      </c>
      <c r="I105" s="288">
        <v>0.4</v>
      </c>
      <c r="J105" s="294">
        <f t="shared" ref="J105:J107" si="4">F105*G105*H105*I105</f>
        <v>3.08</v>
      </c>
    </row>
    <row r="106" spans="1:10" s="27" customFormat="1" ht="23.25" customHeight="1" x14ac:dyDescent="0.25">
      <c r="A106" s="287"/>
      <c r="B106" s="288"/>
      <c r="C106" s="288"/>
      <c r="D106" s="422" t="s">
        <v>583</v>
      </c>
      <c r="E106" s="423"/>
      <c r="F106" s="223">
        <v>9</v>
      </c>
      <c r="G106" s="286">
        <v>1</v>
      </c>
      <c r="H106" s="286">
        <v>10.65</v>
      </c>
      <c r="I106" s="288">
        <v>0.4</v>
      </c>
      <c r="J106" s="294">
        <f t="shared" si="4"/>
        <v>38.340000000000003</v>
      </c>
    </row>
    <row r="107" spans="1:10" s="27" customFormat="1" ht="15" customHeight="1" x14ac:dyDescent="0.25">
      <c r="A107" s="287"/>
      <c r="B107" s="288"/>
      <c r="C107" s="288"/>
      <c r="D107" s="449" t="s">
        <v>584</v>
      </c>
      <c r="E107" s="449"/>
      <c r="F107" s="223">
        <v>3</v>
      </c>
      <c r="G107" s="286">
        <v>1</v>
      </c>
      <c r="H107" s="286">
        <v>23.46</v>
      </c>
      <c r="I107" s="288">
        <v>0.4</v>
      </c>
      <c r="J107" s="294">
        <f t="shared" si="4"/>
        <v>28.152000000000001</v>
      </c>
    </row>
    <row r="108" spans="1:10" s="27" customFormat="1" x14ac:dyDescent="0.25">
      <c r="A108" s="287"/>
      <c r="B108" s="288"/>
      <c r="C108" s="288"/>
      <c r="D108" s="490" t="s">
        <v>446</v>
      </c>
      <c r="E108" s="491"/>
      <c r="F108" s="223">
        <v>1</v>
      </c>
      <c r="G108" s="286">
        <v>2</v>
      </c>
      <c r="H108" s="286">
        <v>1.6</v>
      </c>
      <c r="I108" s="286">
        <v>0.2</v>
      </c>
      <c r="J108" s="292">
        <f t="shared" ref="J108" si="5">H108*F108*I108</f>
        <v>0.32000000000000006</v>
      </c>
    </row>
    <row r="109" spans="1:10" s="129" customFormat="1" x14ac:dyDescent="0.25">
      <c r="A109" s="243"/>
      <c r="B109" s="228"/>
      <c r="C109" s="228"/>
      <c r="D109" s="453" t="s">
        <v>430</v>
      </c>
      <c r="E109" s="453"/>
      <c r="F109" s="453"/>
      <c r="G109" s="453"/>
      <c r="H109" s="453"/>
      <c r="I109" s="285"/>
      <c r="J109" s="244">
        <f>SUM(J104:J108)</f>
        <v>82.251999999999995</v>
      </c>
    </row>
    <row r="110" spans="1:10" x14ac:dyDescent="0.25">
      <c r="A110" s="424"/>
      <c r="B110" s="425"/>
      <c r="C110" s="425"/>
      <c r="D110" s="425"/>
      <c r="E110" s="425"/>
      <c r="F110" s="425"/>
      <c r="G110" s="425"/>
      <c r="H110" s="425"/>
      <c r="I110" s="425"/>
      <c r="J110" s="426"/>
    </row>
    <row r="111" spans="1:10" x14ac:dyDescent="0.25">
      <c r="A111" s="424"/>
      <c r="B111" s="425"/>
      <c r="C111" s="425"/>
      <c r="D111" s="425"/>
      <c r="E111" s="425"/>
      <c r="F111" s="425"/>
      <c r="G111" s="425"/>
      <c r="H111" s="425"/>
      <c r="I111" s="425"/>
      <c r="J111" s="426"/>
    </row>
    <row r="112" spans="1:10" x14ac:dyDescent="0.25">
      <c r="A112" s="427" t="s">
        <v>329</v>
      </c>
      <c r="B112" s="428"/>
      <c r="C112" s="428"/>
      <c r="D112" s="428"/>
      <c r="E112" s="428"/>
      <c r="F112" s="428"/>
      <c r="G112" s="428"/>
      <c r="H112" s="428"/>
      <c r="I112" s="428"/>
      <c r="J112" s="429"/>
    </row>
    <row r="113" spans="1:10" x14ac:dyDescent="0.25">
      <c r="A113" s="424"/>
      <c r="B113" s="425"/>
      <c r="C113" s="425"/>
      <c r="D113" s="425"/>
      <c r="E113" s="425"/>
      <c r="F113" s="425"/>
      <c r="G113" s="425"/>
      <c r="H113" s="425"/>
      <c r="I113" s="425"/>
      <c r="J113" s="426"/>
    </row>
    <row r="114" spans="1:10" s="27" customFormat="1" ht="25.5" customHeight="1" x14ac:dyDescent="0.25">
      <c r="A114" s="240" t="s">
        <v>122</v>
      </c>
      <c r="B114" s="219" t="s">
        <v>423</v>
      </c>
      <c r="C114" s="225" t="s">
        <v>95</v>
      </c>
      <c r="D114" s="432" t="s">
        <v>515</v>
      </c>
      <c r="E114" s="432"/>
      <c r="F114" s="432"/>
      <c r="G114" s="432"/>
      <c r="H114" s="432"/>
      <c r="I114" s="225" t="s">
        <v>330</v>
      </c>
      <c r="J114" s="241">
        <f>J116</f>
        <v>80.498190000000008</v>
      </c>
    </row>
    <row r="115" spans="1:10" s="27" customFormat="1" ht="25.5" customHeight="1" x14ac:dyDescent="0.25">
      <c r="A115" s="240"/>
      <c r="B115" s="276"/>
      <c r="C115" s="225"/>
      <c r="D115" s="439" t="s">
        <v>318</v>
      </c>
      <c r="E115" s="439"/>
      <c r="F115" s="228" t="s">
        <v>589</v>
      </c>
      <c r="G115" s="276" t="s">
        <v>327</v>
      </c>
      <c r="H115" s="276" t="s">
        <v>587</v>
      </c>
      <c r="I115" s="276" t="s">
        <v>588</v>
      </c>
      <c r="J115" s="241"/>
    </row>
    <row r="116" spans="1:10" s="27" customFormat="1" ht="25.5" customHeight="1" x14ac:dyDescent="0.25">
      <c r="A116" s="240"/>
      <c r="B116" s="276"/>
      <c r="C116" s="225"/>
      <c r="D116" s="449" t="s">
        <v>586</v>
      </c>
      <c r="E116" s="449"/>
      <c r="F116" s="223" t="s">
        <v>140</v>
      </c>
      <c r="G116" s="223">
        <v>1</v>
      </c>
      <c r="H116" s="281">
        <f>H100</f>
        <v>204.83</v>
      </c>
      <c r="I116" s="226">
        <v>0.39300000000000002</v>
      </c>
      <c r="J116" s="241">
        <f>G116*H116*I116</f>
        <v>80.498190000000008</v>
      </c>
    </row>
    <row r="117" spans="1:10" x14ac:dyDescent="0.25">
      <c r="A117" s="424"/>
      <c r="B117" s="425"/>
      <c r="C117" s="425"/>
      <c r="D117" s="425"/>
      <c r="E117" s="425"/>
      <c r="F117" s="425"/>
      <c r="G117" s="425"/>
      <c r="H117" s="425"/>
      <c r="I117" s="425"/>
      <c r="J117" s="426"/>
    </row>
    <row r="118" spans="1:10" x14ac:dyDescent="0.25">
      <c r="A118" s="231" t="s">
        <v>124</v>
      </c>
      <c r="B118" s="430" t="s">
        <v>125</v>
      </c>
      <c r="C118" s="430"/>
      <c r="D118" s="430"/>
      <c r="E118" s="430"/>
      <c r="F118" s="430"/>
      <c r="G118" s="430"/>
      <c r="H118" s="430"/>
      <c r="I118" s="430"/>
      <c r="J118" s="431"/>
    </row>
    <row r="119" spans="1:10" x14ac:dyDescent="0.25">
      <c r="A119" s="424"/>
      <c r="B119" s="425"/>
      <c r="C119" s="425"/>
      <c r="D119" s="425"/>
      <c r="E119" s="425"/>
      <c r="F119" s="425"/>
      <c r="G119" s="425"/>
      <c r="H119" s="425"/>
      <c r="I119" s="425"/>
      <c r="J119" s="426"/>
    </row>
    <row r="120" spans="1:10" ht="23.25" customHeight="1" x14ac:dyDescent="0.25">
      <c r="A120" s="232" t="s">
        <v>126</v>
      </c>
      <c r="B120" s="302" t="s">
        <v>655</v>
      </c>
      <c r="C120" s="219" t="s">
        <v>95</v>
      </c>
      <c r="D120" s="433" t="s">
        <v>656</v>
      </c>
      <c r="E120" s="433"/>
      <c r="F120" s="433"/>
      <c r="G120" s="433"/>
      <c r="H120" s="433"/>
      <c r="I120" s="219" t="s">
        <v>317</v>
      </c>
      <c r="J120" s="233">
        <f>SUM(J123:J132)</f>
        <v>2.9909250000000003</v>
      </c>
    </row>
    <row r="121" spans="1:10" x14ac:dyDescent="0.25">
      <c r="A121" s="234"/>
      <c r="B121" s="221"/>
      <c r="C121" s="221"/>
      <c r="D121" s="439" t="s">
        <v>578</v>
      </c>
      <c r="E121" s="439"/>
      <c r="F121" s="439"/>
      <c r="G121" s="439"/>
      <c r="H121" s="439"/>
      <c r="I121" s="221"/>
      <c r="J121" s="235"/>
    </row>
    <row r="122" spans="1:10" x14ac:dyDescent="0.25">
      <c r="A122" s="234"/>
      <c r="B122" s="221"/>
      <c r="C122" s="221"/>
      <c r="D122" s="439" t="s">
        <v>318</v>
      </c>
      <c r="E122" s="439"/>
      <c r="F122" s="219" t="s">
        <v>327</v>
      </c>
      <c r="G122" s="280" t="s">
        <v>598</v>
      </c>
      <c r="H122" s="276" t="s">
        <v>597</v>
      </c>
      <c r="I122" s="276" t="s">
        <v>421</v>
      </c>
      <c r="J122" s="237" t="s">
        <v>305</v>
      </c>
    </row>
    <row r="123" spans="1:10" s="27" customFormat="1" x14ac:dyDescent="0.25">
      <c r="A123" s="277"/>
      <c r="B123" s="278"/>
      <c r="C123" s="278"/>
      <c r="D123" s="422" t="s">
        <v>590</v>
      </c>
      <c r="E123" s="423"/>
      <c r="F123" s="223">
        <v>3</v>
      </c>
      <c r="G123" s="299">
        <v>1.35E-2</v>
      </c>
      <c r="H123" s="281">
        <v>10.3</v>
      </c>
      <c r="I123" s="281">
        <v>1</v>
      </c>
      <c r="J123" s="283">
        <f>F123*G123*H123*I123</f>
        <v>0.41715000000000002</v>
      </c>
    </row>
    <row r="124" spans="1:10" s="27" customFormat="1" x14ac:dyDescent="0.25">
      <c r="A124" s="277"/>
      <c r="B124" s="278"/>
      <c r="C124" s="278"/>
      <c r="D124" s="422" t="s">
        <v>591</v>
      </c>
      <c r="E124" s="423"/>
      <c r="F124" s="223">
        <v>2</v>
      </c>
      <c r="G124" s="299">
        <v>1.35E-2</v>
      </c>
      <c r="H124" s="281">
        <v>10.3</v>
      </c>
      <c r="I124" s="281">
        <v>1</v>
      </c>
      <c r="J124" s="283">
        <f t="shared" ref="J124:J132" si="6">F124*G124*H124*I124</f>
        <v>0.27810000000000001</v>
      </c>
    </row>
    <row r="125" spans="1:10" s="27" customFormat="1" x14ac:dyDescent="0.25">
      <c r="A125" s="277"/>
      <c r="B125" s="278"/>
      <c r="C125" s="278"/>
      <c r="D125" s="422" t="s">
        <v>592</v>
      </c>
      <c r="E125" s="423"/>
      <c r="F125" s="278">
        <v>3</v>
      </c>
      <c r="G125" s="299">
        <v>1.35E-2</v>
      </c>
      <c r="H125" s="281">
        <v>6.14</v>
      </c>
      <c r="I125" s="281">
        <v>3</v>
      </c>
      <c r="J125" s="283">
        <f t="shared" si="6"/>
        <v>0.74601000000000006</v>
      </c>
    </row>
    <row r="126" spans="1:10" s="27" customFormat="1" x14ac:dyDescent="0.25">
      <c r="A126" s="277"/>
      <c r="B126" s="278"/>
      <c r="C126" s="278"/>
      <c r="D126" s="422" t="s">
        <v>593</v>
      </c>
      <c r="E126" s="423"/>
      <c r="F126" s="278">
        <v>2</v>
      </c>
      <c r="G126" s="299">
        <v>1.35E-2</v>
      </c>
      <c r="H126" s="281">
        <v>7.7</v>
      </c>
      <c r="I126" s="281">
        <v>1</v>
      </c>
      <c r="J126" s="283">
        <f t="shared" si="6"/>
        <v>0.2079</v>
      </c>
    </row>
    <row r="127" spans="1:10" s="27" customFormat="1" x14ac:dyDescent="0.25">
      <c r="A127" s="277"/>
      <c r="B127" s="278"/>
      <c r="C127" s="278"/>
      <c r="D127" s="422" t="s">
        <v>594</v>
      </c>
      <c r="E127" s="423"/>
      <c r="F127" s="278">
        <v>1</v>
      </c>
      <c r="G127" s="299">
        <v>1.35E-2</v>
      </c>
      <c r="H127" s="281">
        <v>2.13</v>
      </c>
      <c r="I127" s="281">
        <v>3</v>
      </c>
      <c r="J127" s="283">
        <f t="shared" si="6"/>
        <v>8.6264999999999994E-2</v>
      </c>
    </row>
    <row r="128" spans="1:10" s="27" customFormat="1" x14ac:dyDescent="0.25">
      <c r="A128" s="277"/>
      <c r="B128" s="278"/>
      <c r="C128" s="278"/>
      <c r="D128" s="422" t="s">
        <v>596</v>
      </c>
      <c r="E128" s="423"/>
      <c r="F128" s="278">
        <v>3</v>
      </c>
      <c r="G128" s="300">
        <v>1.4175E-2</v>
      </c>
      <c r="H128" s="281">
        <v>4</v>
      </c>
      <c r="I128" s="281">
        <v>4</v>
      </c>
      <c r="J128" s="283">
        <f t="shared" si="6"/>
        <v>0.6804</v>
      </c>
    </row>
    <row r="129" spans="1:15" s="27" customFormat="1" ht="15" customHeight="1" x14ac:dyDescent="0.25">
      <c r="A129" s="277"/>
      <c r="B129" s="278"/>
      <c r="C129" s="278"/>
      <c r="D129" s="422" t="s">
        <v>600</v>
      </c>
      <c r="E129" s="423"/>
      <c r="F129" s="278">
        <v>1</v>
      </c>
      <c r="G129" s="300">
        <v>1.4175E-2</v>
      </c>
      <c r="H129" s="281">
        <v>4</v>
      </c>
      <c r="I129" s="281">
        <v>2</v>
      </c>
      <c r="J129" s="283">
        <f t="shared" si="6"/>
        <v>0.1134</v>
      </c>
    </row>
    <row r="130" spans="1:15" s="27" customFormat="1" ht="15" customHeight="1" x14ac:dyDescent="0.25">
      <c r="A130" s="277"/>
      <c r="B130" s="278"/>
      <c r="C130" s="278"/>
      <c r="D130" s="422" t="s">
        <v>599</v>
      </c>
      <c r="E130" s="423"/>
      <c r="F130" s="278">
        <v>1</v>
      </c>
      <c r="G130" s="300">
        <v>1.4175E-2</v>
      </c>
      <c r="H130" s="281">
        <v>4</v>
      </c>
      <c r="I130" s="281">
        <v>3</v>
      </c>
      <c r="J130" s="283">
        <f t="shared" si="6"/>
        <v>0.1701</v>
      </c>
    </row>
    <row r="131" spans="1:15" s="27" customFormat="1" ht="37.5" customHeight="1" x14ac:dyDescent="0.25">
      <c r="A131" s="287"/>
      <c r="B131" s="288"/>
      <c r="C131" s="288"/>
      <c r="D131" s="422" t="s">
        <v>641</v>
      </c>
      <c r="E131" s="423"/>
      <c r="F131" s="288">
        <v>3</v>
      </c>
      <c r="G131" s="299">
        <v>1.35E-2</v>
      </c>
      <c r="H131" s="286">
        <v>2.4</v>
      </c>
      <c r="I131" s="286">
        <v>1</v>
      </c>
      <c r="J131" s="292">
        <f t="shared" si="6"/>
        <v>9.7199999999999995E-2</v>
      </c>
    </row>
    <row r="132" spans="1:15" s="27" customFormat="1" ht="33" customHeight="1" x14ac:dyDescent="0.25">
      <c r="A132" s="287"/>
      <c r="B132" s="288"/>
      <c r="C132" s="288"/>
      <c r="D132" s="422" t="s">
        <v>642</v>
      </c>
      <c r="E132" s="423"/>
      <c r="F132" s="288">
        <v>3</v>
      </c>
      <c r="G132" s="299">
        <v>1.35E-2</v>
      </c>
      <c r="H132" s="286">
        <v>2.4</v>
      </c>
      <c r="I132" s="286">
        <v>2</v>
      </c>
      <c r="J132" s="292">
        <f t="shared" si="6"/>
        <v>0.19439999999999999</v>
      </c>
    </row>
    <row r="133" spans="1:15" x14ac:dyDescent="0.25">
      <c r="A133" s="424"/>
      <c r="B133" s="425"/>
      <c r="C133" s="425"/>
      <c r="D133" s="425"/>
      <c r="E133" s="425"/>
      <c r="F133" s="425"/>
      <c r="G133" s="425"/>
      <c r="H133" s="425"/>
      <c r="I133" s="425"/>
      <c r="J133" s="426"/>
    </row>
    <row r="134" spans="1:15" x14ac:dyDescent="0.25">
      <c r="A134" s="427" t="s">
        <v>329</v>
      </c>
      <c r="B134" s="428"/>
      <c r="C134" s="428"/>
      <c r="D134" s="428"/>
      <c r="E134" s="428"/>
      <c r="F134" s="428"/>
      <c r="G134" s="428"/>
      <c r="H134" s="428"/>
      <c r="I134" s="428"/>
      <c r="J134" s="429"/>
    </row>
    <row r="135" spans="1:15" x14ac:dyDescent="0.25">
      <c r="A135" s="424"/>
      <c r="B135" s="425"/>
      <c r="C135" s="425"/>
      <c r="D135" s="425"/>
      <c r="E135" s="425"/>
      <c r="F135" s="425"/>
      <c r="G135" s="425"/>
      <c r="H135" s="425"/>
      <c r="I135" s="425"/>
      <c r="J135" s="426"/>
    </row>
    <row r="136" spans="1:15" ht="27.75" customHeight="1" x14ac:dyDescent="0.25">
      <c r="A136" s="232" t="s">
        <v>127</v>
      </c>
      <c r="B136" s="219" t="s">
        <v>423</v>
      </c>
      <c r="C136" s="225" t="s">
        <v>95</v>
      </c>
      <c r="D136" s="432" t="s">
        <v>515</v>
      </c>
      <c r="E136" s="432"/>
      <c r="F136" s="432"/>
      <c r="G136" s="432"/>
      <c r="H136" s="432"/>
      <c r="I136" s="225" t="s">
        <v>330</v>
      </c>
      <c r="J136" s="241">
        <f>SUM(J137:J145)</f>
        <v>103.08624</v>
      </c>
    </row>
    <row r="137" spans="1:15" s="27" customFormat="1" x14ac:dyDescent="0.25">
      <c r="A137" s="277"/>
      <c r="B137" s="459" t="s">
        <v>318</v>
      </c>
      <c r="C137" s="460"/>
      <c r="D137" s="228" t="s">
        <v>589</v>
      </c>
      <c r="E137" s="276" t="s">
        <v>327</v>
      </c>
      <c r="F137" s="276" t="s">
        <v>601</v>
      </c>
      <c r="G137" s="276" t="s">
        <v>421</v>
      </c>
      <c r="H137" s="276" t="s">
        <v>588</v>
      </c>
      <c r="I137" s="276"/>
      <c r="J137" s="237" t="s">
        <v>305</v>
      </c>
    </row>
    <row r="138" spans="1:15" s="27" customFormat="1" ht="15" customHeight="1" x14ac:dyDescent="0.25">
      <c r="A138" s="277"/>
      <c r="B138" s="422" t="s">
        <v>590</v>
      </c>
      <c r="C138" s="423"/>
      <c r="D138" s="223" t="s">
        <v>595</v>
      </c>
      <c r="E138" s="223">
        <v>3</v>
      </c>
      <c r="F138" s="278">
        <v>10.3</v>
      </c>
      <c r="G138" s="278">
        <v>2</v>
      </c>
      <c r="H138" s="278">
        <v>0.248</v>
      </c>
      <c r="I138" s="282"/>
      <c r="J138" s="283">
        <f>E138*F138*G138*H138</f>
        <v>15.326400000000001</v>
      </c>
      <c r="K138" s="27">
        <f>E138*F138*G138</f>
        <v>61.800000000000004</v>
      </c>
    </row>
    <row r="139" spans="1:15" s="27" customFormat="1" ht="15" customHeight="1" x14ac:dyDescent="0.25">
      <c r="A139" s="277"/>
      <c r="B139" s="422" t="s">
        <v>591</v>
      </c>
      <c r="C139" s="423"/>
      <c r="D139" s="223" t="s">
        <v>595</v>
      </c>
      <c r="E139" s="223">
        <v>2</v>
      </c>
      <c r="F139" s="278">
        <v>10.3</v>
      </c>
      <c r="G139" s="278">
        <v>2</v>
      </c>
      <c r="H139" s="278">
        <v>0.248</v>
      </c>
      <c r="I139" s="282"/>
      <c r="J139" s="283">
        <f t="shared" ref="J139:J145" si="7">E139*F139*G139*H139</f>
        <v>10.217600000000001</v>
      </c>
      <c r="K139" s="27">
        <f t="shared" ref="K139:K145" si="8">E139*F139*G139</f>
        <v>41.2</v>
      </c>
    </row>
    <row r="140" spans="1:15" s="27" customFormat="1" ht="15" customHeight="1" x14ac:dyDescent="0.25">
      <c r="A140" s="277"/>
      <c r="B140" s="422" t="s">
        <v>592</v>
      </c>
      <c r="C140" s="423"/>
      <c r="D140" s="223" t="s">
        <v>595</v>
      </c>
      <c r="E140" s="278">
        <v>3</v>
      </c>
      <c r="F140" s="278">
        <f>6.14*3</f>
        <v>18.419999999999998</v>
      </c>
      <c r="G140" s="278">
        <v>2</v>
      </c>
      <c r="H140" s="278">
        <v>0.248</v>
      </c>
      <c r="I140" s="282"/>
      <c r="J140" s="283">
        <f t="shared" si="7"/>
        <v>27.408959999999997</v>
      </c>
      <c r="K140" s="27">
        <f t="shared" si="8"/>
        <v>110.51999999999998</v>
      </c>
    </row>
    <row r="141" spans="1:15" s="27" customFormat="1" ht="15" customHeight="1" x14ac:dyDescent="0.25">
      <c r="A141" s="277"/>
      <c r="B141" s="422" t="s">
        <v>593</v>
      </c>
      <c r="C141" s="423"/>
      <c r="D141" s="223" t="s">
        <v>595</v>
      </c>
      <c r="E141" s="278">
        <v>2</v>
      </c>
      <c r="F141" s="278">
        <v>7.7</v>
      </c>
      <c r="G141" s="278">
        <v>2</v>
      </c>
      <c r="H141" s="278">
        <v>0.248</v>
      </c>
      <c r="I141" s="282"/>
      <c r="J141" s="283">
        <f t="shared" si="7"/>
        <v>7.6383999999999999</v>
      </c>
      <c r="K141" s="27">
        <f t="shared" si="8"/>
        <v>30.8</v>
      </c>
    </row>
    <row r="142" spans="1:15" s="27" customFormat="1" ht="15" customHeight="1" x14ac:dyDescent="0.25">
      <c r="A142" s="277"/>
      <c r="B142" s="422" t="s">
        <v>594</v>
      </c>
      <c r="C142" s="423"/>
      <c r="D142" s="223" t="s">
        <v>595</v>
      </c>
      <c r="E142" s="278">
        <v>2</v>
      </c>
      <c r="F142" s="278">
        <f>2.13*3</f>
        <v>6.39</v>
      </c>
      <c r="G142" s="278">
        <v>2</v>
      </c>
      <c r="H142" s="278">
        <v>0.248</v>
      </c>
      <c r="I142" s="282"/>
      <c r="J142" s="283">
        <f t="shared" si="7"/>
        <v>6.3388799999999996</v>
      </c>
      <c r="K142" s="27">
        <f t="shared" si="8"/>
        <v>25.56</v>
      </c>
      <c r="L142" s="27">
        <v>853.96</v>
      </c>
      <c r="M142" s="27">
        <f>SUM(K138:L142)</f>
        <v>1123.8400000000001</v>
      </c>
      <c r="N142" s="27">
        <v>0.248</v>
      </c>
      <c r="O142" s="27">
        <f>N142*M142</f>
        <v>278.71232000000003</v>
      </c>
    </row>
    <row r="143" spans="1:15" s="27" customFormat="1" ht="15" customHeight="1" x14ac:dyDescent="0.25">
      <c r="A143" s="277"/>
      <c r="B143" s="422" t="s">
        <v>596</v>
      </c>
      <c r="C143" s="423"/>
      <c r="D143" s="223" t="s">
        <v>140</v>
      </c>
      <c r="E143" s="278">
        <v>3</v>
      </c>
      <c r="F143" s="281">
        <v>4</v>
      </c>
      <c r="G143" s="278">
        <v>2</v>
      </c>
      <c r="H143" s="226">
        <v>0.39300000000000002</v>
      </c>
      <c r="I143" s="282"/>
      <c r="J143" s="283">
        <f t="shared" si="7"/>
        <v>9.4320000000000004</v>
      </c>
      <c r="K143" s="27">
        <f t="shared" si="8"/>
        <v>24</v>
      </c>
    </row>
    <row r="144" spans="1:15" s="27" customFormat="1" ht="15" customHeight="1" x14ac:dyDescent="0.25">
      <c r="A144" s="277"/>
      <c r="B144" s="422" t="s">
        <v>600</v>
      </c>
      <c r="C144" s="423"/>
      <c r="D144" s="223" t="s">
        <v>140</v>
      </c>
      <c r="E144" s="278">
        <v>5</v>
      </c>
      <c r="F144" s="281">
        <v>4</v>
      </c>
      <c r="G144" s="278">
        <v>1</v>
      </c>
      <c r="H144" s="226">
        <v>0.39300000000000002</v>
      </c>
      <c r="I144" s="282"/>
      <c r="J144" s="283">
        <f t="shared" si="7"/>
        <v>7.86</v>
      </c>
      <c r="K144" s="27">
        <f t="shared" si="8"/>
        <v>20</v>
      </c>
    </row>
    <row r="145" spans="1:15" s="27" customFormat="1" ht="15" customHeight="1" x14ac:dyDescent="0.25">
      <c r="A145" s="277"/>
      <c r="B145" s="422" t="s">
        <v>599</v>
      </c>
      <c r="C145" s="423"/>
      <c r="D145" s="223" t="s">
        <v>140</v>
      </c>
      <c r="E145" s="278">
        <v>4</v>
      </c>
      <c r="F145" s="281">
        <v>4</v>
      </c>
      <c r="G145" s="278">
        <v>3</v>
      </c>
      <c r="H145" s="226">
        <v>0.39300000000000002</v>
      </c>
      <c r="I145" s="282"/>
      <c r="J145" s="283">
        <f t="shared" si="7"/>
        <v>18.864000000000001</v>
      </c>
      <c r="K145" s="27">
        <f t="shared" si="8"/>
        <v>48</v>
      </c>
      <c r="L145" s="27">
        <v>204.83</v>
      </c>
      <c r="M145" s="27">
        <f>SUM(K143:L145)</f>
        <v>296.83000000000004</v>
      </c>
      <c r="N145" s="27">
        <v>0.39300000000000002</v>
      </c>
      <c r="O145" s="27">
        <f t="shared" ref="O145" si="9">N145*M145</f>
        <v>116.65419000000001</v>
      </c>
    </row>
    <row r="146" spans="1:15" x14ac:dyDescent="0.25">
      <c r="A146" s="424"/>
      <c r="B146" s="425"/>
      <c r="C146" s="425"/>
      <c r="D146" s="425"/>
      <c r="E146" s="425"/>
      <c r="F146" s="425"/>
      <c r="G146" s="425"/>
      <c r="H146" s="425"/>
      <c r="I146" s="425"/>
      <c r="J146" s="426"/>
      <c r="O146">
        <f>O145+O142</f>
        <v>395.36651000000006</v>
      </c>
    </row>
    <row r="147" spans="1:15" s="27" customFormat="1" x14ac:dyDescent="0.25">
      <c r="A147" s="427" t="s">
        <v>606</v>
      </c>
      <c r="B147" s="428"/>
      <c r="C147" s="428"/>
      <c r="D147" s="428"/>
      <c r="E147" s="428"/>
      <c r="F147" s="428"/>
      <c r="G147" s="428"/>
      <c r="H147" s="428"/>
      <c r="I147" s="428"/>
      <c r="J147" s="429"/>
    </row>
    <row r="148" spans="1:15" s="27" customFormat="1" x14ac:dyDescent="0.25">
      <c r="A148" s="424"/>
      <c r="B148" s="425"/>
      <c r="C148" s="425"/>
      <c r="D148" s="425"/>
      <c r="E148" s="425"/>
      <c r="F148" s="425"/>
      <c r="G148" s="425"/>
      <c r="H148" s="425"/>
      <c r="I148" s="425"/>
      <c r="J148" s="426"/>
    </row>
    <row r="149" spans="1:15" s="27" customFormat="1" ht="58.5" customHeight="1" x14ac:dyDescent="0.25">
      <c r="A149" s="232" t="s">
        <v>128</v>
      </c>
      <c r="B149" s="440" t="s">
        <v>614</v>
      </c>
      <c r="C149" s="460"/>
      <c r="D149" s="432" t="s">
        <v>612</v>
      </c>
      <c r="E149" s="432"/>
      <c r="F149" s="432"/>
      <c r="G149" s="432"/>
      <c r="H149" s="432"/>
      <c r="I149" s="225" t="s">
        <v>284</v>
      </c>
      <c r="J149" s="241">
        <f>J152</f>
        <v>320</v>
      </c>
    </row>
    <row r="150" spans="1:15" s="27" customFormat="1" x14ac:dyDescent="0.25">
      <c r="A150" s="287"/>
      <c r="B150" s="422"/>
      <c r="C150" s="423"/>
      <c r="D150" s="439" t="s">
        <v>611</v>
      </c>
      <c r="E150" s="439"/>
      <c r="F150" s="439"/>
      <c r="G150" s="439"/>
      <c r="H150" s="439"/>
      <c r="I150" s="288"/>
      <c r="J150" s="289"/>
    </row>
    <row r="151" spans="1:15" s="27" customFormat="1" x14ac:dyDescent="0.25">
      <c r="A151" s="287"/>
      <c r="B151" s="459" t="s">
        <v>318</v>
      </c>
      <c r="C151" s="460"/>
      <c r="D151" s="228"/>
      <c r="E151" s="290" t="s">
        <v>609</v>
      </c>
      <c r="F151" s="290" t="s">
        <v>610</v>
      </c>
      <c r="G151" s="290"/>
      <c r="H151" s="290"/>
      <c r="I151" s="290"/>
      <c r="J151" s="237" t="s">
        <v>305</v>
      </c>
    </row>
    <row r="152" spans="1:15" s="27" customFormat="1" ht="15" customHeight="1" x14ac:dyDescent="0.25">
      <c r="A152" s="287"/>
      <c r="B152" s="422" t="s">
        <v>608</v>
      </c>
      <c r="C152" s="423"/>
      <c r="D152" s="223"/>
      <c r="E152" s="286">
        <f>11+1.8</f>
        <v>12.8</v>
      </c>
      <c r="F152" s="286">
        <f>24+1</f>
        <v>25</v>
      </c>
      <c r="G152" s="288"/>
      <c r="H152" s="288"/>
      <c r="I152" s="293"/>
      <c r="J152" s="292">
        <f>E152*F152</f>
        <v>320</v>
      </c>
    </row>
    <row r="153" spans="1:15" s="27" customFormat="1" x14ac:dyDescent="0.25">
      <c r="A153" s="424"/>
      <c r="B153" s="425"/>
      <c r="C153" s="425"/>
      <c r="D153" s="425"/>
      <c r="E153" s="425"/>
      <c r="F153" s="425"/>
      <c r="G153" s="425"/>
      <c r="H153" s="425"/>
      <c r="I153" s="425"/>
      <c r="J153" s="426"/>
    </row>
    <row r="154" spans="1:15" x14ac:dyDescent="0.25">
      <c r="A154" s="231" t="s">
        <v>129</v>
      </c>
      <c r="B154" s="430" t="s">
        <v>130</v>
      </c>
      <c r="C154" s="430"/>
      <c r="D154" s="430"/>
      <c r="E154" s="430"/>
      <c r="F154" s="430"/>
      <c r="G154" s="430"/>
      <c r="H154" s="430"/>
      <c r="I154" s="430"/>
      <c r="J154" s="431"/>
    </row>
    <row r="155" spans="1:15" x14ac:dyDescent="0.25">
      <c r="A155" s="424"/>
      <c r="B155" s="425"/>
      <c r="C155" s="425"/>
      <c r="D155" s="425"/>
      <c r="E155" s="425"/>
      <c r="F155" s="425"/>
      <c r="G155" s="425"/>
      <c r="H155" s="425"/>
      <c r="I155" s="425"/>
      <c r="J155" s="426"/>
    </row>
    <row r="156" spans="1:15" s="128" customFormat="1" ht="49.5" customHeight="1" x14ac:dyDescent="0.25">
      <c r="A156" s="240" t="s">
        <v>131</v>
      </c>
      <c r="B156" s="225">
        <v>50601</v>
      </c>
      <c r="C156" s="225" t="s">
        <v>424</v>
      </c>
      <c r="D156" s="492" t="s">
        <v>425</v>
      </c>
      <c r="E156" s="492"/>
      <c r="F156" s="492"/>
      <c r="G156" s="492"/>
      <c r="H156" s="492"/>
      <c r="I156" s="225" t="s">
        <v>284</v>
      </c>
      <c r="J156" s="241">
        <f>J172</f>
        <v>126.024</v>
      </c>
    </row>
    <row r="157" spans="1:15" x14ac:dyDescent="0.25">
      <c r="A157" s="234"/>
      <c r="B157" s="221"/>
      <c r="C157" s="221"/>
      <c r="D157" s="439" t="s">
        <v>613</v>
      </c>
      <c r="E157" s="439"/>
      <c r="F157" s="439"/>
      <c r="G157" s="439"/>
      <c r="H157" s="439"/>
      <c r="I157" s="221"/>
      <c r="J157" s="235"/>
    </row>
    <row r="158" spans="1:15" x14ac:dyDescent="0.25">
      <c r="A158" s="234"/>
      <c r="B158" s="221"/>
      <c r="C158" s="221"/>
      <c r="D158" s="439" t="s">
        <v>318</v>
      </c>
      <c r="E158" s="439"/>
      <c r="F158" s="301" t="s">
        <v>602</v>
      </c>
      <c r="G158" s="276" t="s">
        <v>579</v>
      </c>
      <c r="H158" s="276" t="s">
        <v>421</v>
      </c>
      <c r="I158" s="274"/>
      <c r="J158" s="237" t="s">
        <v>305</v>
      </c>
    </row>
    <row r="159" spans="1:15" ht="15" customHeight="1" x14ac:dyDescent="0.25">
      <c r="A159" s="234"/>
      <c r="B159" s="221"/>
      <c r="C159" s="221"/>
      <c r="D159" s="422" t="s">
        <v>615</v>
      </c>
      <c r="E159" s="423"/>
      <c r="F159" s="278">
        <v>10.3</v>
      </c>
      <c r="G159" s="278">
        <v>2.4</v>
      </c>
      <c r="H159" s="222">
        <v>1</v>
      </c>
      <c r="I159" s="285"/>
      <c r="J159" s="235">
        <f>F159*G159*H159</f>
        <v>24.720000000000002</v>
      </c>
    </row>
    <row r="160" spans="1:15" ht="15" customHeight="1" x14ac:dyDescent="0.25">
      <c r="A160" s="234"/>
      <c r="B160" s="221"/>
      <c r="C160" s="221"/>
      <c r="D160" s="422" t="s">
        <v>616</v>
      </c>
      <c r="E160" s="423"/>
      <c r="F160" s="278">
        <f>1.6-0.2</f>
        <v>1.4000000000000001</v>
      </c>
      <c r="G160" s="278">
        <v>2.8</v>
      </c>
      <c r="H160" s="222">
        <v>2</v>
      </c>
      <c r="I160" s="285"/>
      <c r="J160" s="279">
        <f t="shared" ref="J160:J171" si="10">F160*G160*H160</f>
        <v>7.84</v>
      </c>
    </row>
    <row r="161" spans="1:18" s="27" customFormat="1" ht="15" customHeight="1" x14ac:dyDescent="0.25">
      <c r="A161" s="287"/>
      <c r="B161" s="288"/>
      <c r="C161" s="288"/>
      <c r="D161" s="422" t="s">
        <v>621</v>
      </c>
      <c r="E161" s="423"/>
      <c r="F161" s="288">
        <f>7.42-0.8-0.6</f>
        <v>6.0200000000000005</v>
      </c>
      <c r="G161" s="288">
        <v>3.4</v>
      </c>
      <c r="H161" s="286">
        <v>1</v>
      </c>
      <c r="I161" s="285"/>
      <c r="J161" s="289">
        <f t="shared" si="10"/>
        <v>20.468</v>
      </c>
    </row>
    <row r="162" spans="1:18" ht="15" customHeight="1" x14ac:dyDescent="0.25">
      <c r="A162" s="234"/>
      <c r="B162" s="221"/>
      <c r="C162" s="221"/>
      <c r="D162" s="422" t="s">
        <v>617</v>
      </c>
      <c r="E162" s="423"/>
      <c r="F162" s="278">
        <v>5.75</v>
      </c>
      <c r="G162" s="278">
        <v>2.4</v>
      </c>
      <c r="H162" s="222">
        <v>2</v>
      </c>
      <c r="I162" s="285"/>
      <c r="J162" s="279">
        <f t="shared" si="10"/>
        <v>27.599999999999998</v>
      </c>
    </row>
    <row r="163" spans="1:18" s="27" customFormat="1" ht="15" customHeight="1" x14ac:dyDescent="0.25">
      <c r="A163" s="287"/>
      <c r="B163" s="288"/>
      <c r="C163" s="288"/>
      <c r="D163" s="422" t="s">
        <v>618</v>
      </c>
      <c r="E163" s="423"/>
      <c r="F163" s="288">
        <f>5.75-0.4-0.6</f>
        <v>4.75</v>
      </c>
      <c r="G163" s="288">
        <v>2.4</v>
      </c>
      <c r="H163" s="286">
        <v>1</v>
      </c>
      <c r="I163" s="285"/>
      <c r="J163" s="289">
        <f t="shared" si="10"/>
        <v>11.4</v>
      </c>
    </row>
    <row r="164" spans="1:18" ht="15" customHeight="1" x14ac:dyDescent="0.25">
      <c r="A164" s="234"/>
      <c r="B164" s="221"/>
      <c r="C164" s="221"/>
      <c r="D164" s="422" t="s">
        <v>619</v>
      </c>
      <c r="E164" s="423"/>
      <c r="F164" s="278">
        <f>7.7-0.8</f>
        <v>6.9</v>
      </c>
      <c r="G164" s="278">
        <f>4-0.6</f>
        <v>3.4</v>
      </c>
      <c r="H164" s="222">
        <v>1</v>
      </c>
      <c r="I164" s="285"/>
      <c r="J164" s="279">
        <f t="shared" si="10"/>
        <v>23.46</v>
      </c>
    </row>
    <row r="165" spans="1:18" s="27" customFormat="1" ht="15" customHeight="1" x14ac:dyDescent="0.25">
      <c r="A165" s="272"/>
      <c r="B165" s="273"/>
      <c r="C165" s="273"/>
      <c r="D165" s="422" t="s">
        <v>627</v>
      </c>
      <c r="E165" s="423"/>
      <c r="F165" s="278">
        <f>2.13-0.4</f>
        <v>1.73</v>
      </c>
      <c r="G165" s="278">
        <v>3.8</v>
      </c>
      <c r="H165" s="271">
        <v>2</v>
      </c>
      <c r="I165" s="271"/>
      <c r="J165" s="292">
        <f t="shared" si="10"/>
        <v>13.148</v>
      </c>
    </row>
    <row r="166" spans="1:18" s="27" customFormat="1" ht="15" customHeight="1" x14ac:dyDescent="0.25">
      <c r="A166" s="287"/>
      <c r="B166" s="288"/>
      <c r="C166" s="288"/>
      <c r="D166" s="422" t="s">
        <v>626</v>
      </c>
      <c r="E166" s="423"/>
      <c r="F166" s="288">
        <f>2.13-0.4</f>
        <v>1.73</v>
      </c>
      <c r="G166" s="288">
        <v>3.6</v>
      </c>
      <c r="H166" s="286">
        <v>1</v>
      </c>
      <c r="I166" s="286"/>
      <c r="J166" s="292">
        <f t="shared" si="10"/>
        <v>6.2279999999999998</v>
      </c>
    </row>
    <row r="167" spans="1:18" s="27" customFormat="1" x14ac:dyDescent="0.25">
      <c r="A167" s="272"/>
      <c r="B167" s="273"/>
      <c r="C167" s="273"/>
      <c r="D167" s="457" t="s">
        <v>620</v>
      </c>
      <c r="E167" s="458"/>
      <c r="F167" s="288">
        <v>5.75</v>
      </c>
      <c r="G167" s="288">
        <v>0.2</v>
      </c>
      <c r="H167" s="286">
        <f>2*4</f>
        <v>8</v>
      </c>
      <c r="I167" s="271"/>
      <c r="J167" s="292">
        <f t="shared" si="10"/>
        <v>9.2000000000000011</v>
      </c>
    </row>
    <row r="168" spans="1:18" s="27" customFormat="1" x14ac:dyDescent="0.25">
      <c r="A168" s="272"/>
      <c r="B168" s="273"/>
      <c r="C168" s="273"/>
      <c r="D168" s="457" t="s">
        <v>322</v>
      </c>
      <c r="E168" s="458"/>
      <c r="F168" s="288">
        <f>2.5*2+4</f>
        <v>9</v>
      </c>
      <c r="G168" s="288">
        <v>0.2</v>
      </c>
      <c r="H168" s="286">
        <v>1</v>
      </c>
      <c r="I168" s="271"/>
      <c r="J168" s="292">
        <f t="shared" si="10"/>
        <v>1.8</v>
      </c>
    </row>
    <row r="169" spans="1:18" s="27" customFormat="1" x14ac:dyDescent="0.25">
      <c r="A169" s="287"/>
      <c r="B169" s="288"/>
      <c r="C169" s="288"/>
      <c r="D169" s="457" t="s">
        <v>622</v>
      </c>
      <c r="E169" s="458"/>
      <c r="F169" s="288">
        <f>2.5</f>
        <v>2.5</v>
      </c>
      <c r="G169" s="293">
        <v>1</v>
      </c>
      <c r="H169" s="286">
        <v>4</v>
      </c>
      <c r="I169" s="286"/>
      <c r="J169" s="292">
        <f t="shared" si="10"/>
        <v>10</v>
      </c>
    </row>
    <row r="170" spans="1:18" s="27" customFormat="1" x14ac:dyDescent="0.25">
      <c r="A170" s="287"/>
      <c r="B170" s="288"/>
      <c r="C170" s="288"/>
      <c r="D170" s="457" t="s">
        <v>623</v>
      </c>
      <c r="E170" s="458"/>
      <c r="F170" s="288">
        <f>0.8</f>
        <v>0.8</v>
      </c>
      <c r="G170" s="288">
        <v>2.1</v>
      </c>
      <c r="H170" s="286">
        <v>4</v>
      </c>
      <c r="I170" s="286"/>
      <c r="J170" s="292">
        <f t="shared" si="10"/>
        <v>6.7200000000000006</v>
      </c>
    </row>
    <row r="171" spans="1:18" s="27" customFormat="1" x14ac:dyDescent="0.25">
      <c r="A171" s="287"/>
      <c r="B171" s="288"/>
      <c r="C171" s="288"/>
      <c r="D171" s="457" t="s">
        <v>624</v>
      </c>
      <c r="E171" s="458"/>
      <c r="F171" s="288">
        <v>2.6</v>
      </c>
      <c r="G171" s="288">
        <v>0.6</v>
      </c>
      <c r="H171" s="286">
        <v>2</v>
      </c>
      <c r="I171" s="286"/>
      <c r="J171" s="292">
        <f t="shared" si="10"/>
        <v>3.12</v>
      </c>
    </row>
    <row r="172" spans="1:18" s="129" customFormat="1" x14ac:dyDescent="0.25">
      <c r="A172" s="360"/>
      <c r="B172" s="285"/>
      <c r="C172" s="285"/>
      <c r="D172" s="453" t="s">
        <v>430</v>
      </c>
      <c r="E172" s="453"/>
      <c r="F172" s="453"/>
      <c r="G172" s="453"/>
      <c r="H172" s="453"/>
      <c r="I172" s="285"/>
      <c r="J172" s="361">
        <f>SUM(J159:J168)-(J169+J170+J171)</f>
        <v>126.024</v>
      </c>
    </row>
    <row r="173" spans="1:18" s="27" customFormat="1" x14ac:dyDescent="0.25">
      <c r="A173" s="454"/>
      <c r="B173" s="455"/>
      <c r="C173" s="455"/>
      <c r="D173" s="455"/>
      <c r="E173" s="455"/>
      <c r="F173" s="455"/>
      <c r="G173" s="455"/>
      <c r="H173" s="455"/>
      <c r="I173" s="455"/>
      <c r="J173" s="456"/>
    </row>
    <row r="174" spans="1:18" s="129" customFormat="1" ht="41.25" customHeight="1" x14ac:dyDescent="0.25">
      <c r="A174" s="362" t="s">
        <v>132</v>
      </c>
      <c r="B174" s="363">
        <v>87449</v>
      </c>
      <c r="C174" s="363" t="s">
        <v>95</v>
      </c>
      <c r="D174" s="452" t="s">
        <v>625</v>
      </c>
      <c r="E174" s="452"/>
      <c r="F174" s="452"/>
      <c r="G174" s="452"/>
      <c r="H174" s="452"/>
      <c r="I174" s="363" t="s">
        <v>284</v>
      </c>
      <c r="J174" s="365">
        <f>J187</f>
        <v>39.606000000000002</v>
      </c>
      <c r="L174" s="304"/>
      <c r="M174" s="304"/>
      <c r="N174" s="304"/>
      <c r="O174" s="304"/>
      <c r="P174" s="304"/>
      <c r="Q174" s="304"/>
      <c r="R174" s="304"/>
    </row>
    <row r="175" spans="1:18" s="27" customFormat="1" x14ac:dyDescent="0.25">
      <c r="A175" s="287"/>
      <c r="B175" s="288"/>
      <c r="C175" s="288"/>
      <c r="D175" s="439" t="s">
        <v>613</v>
      </c>
      <c r="E175" s="439"/>
      <c r="F175" s="439"/>
      <c r="G175" s="439"/>
      <c r="H175" s="439"/>
      <c r="I175" s="288"/>
      <c r="J175" s="289"/>
      <c r="L175" s="304"/>
      <c r="M175" s="304"/>
      <c r="N175" s="304"/>
      <c r="O175" s="304"/>
      <c r="P175" s="304"/>
      <c r="Q175" s="304"/>
      <c r="R175" s="304"/>
    </row>
    <row r="176" spans="1:18" s="27" customFormat="1" x14ac:dyDescent="0.25">
      <c r="A176" s="287"/>
      <c r="B176" s="288"/>
      <c r="C176" s="288"/>
      <c r="D176" s="439" t="s">
        <v>318</v>
      </c>
      <c r="E176" s="439"/>
      <c r="F176" s="301" t="s">
        <v>602</v>
      </c>
      <c r="G176" s="290" t="s">
        <v>579</v>
      </c>
      <c r="H176" s="290" t="s">
        <v>421</v>
      </c>
      <c r="I176" s="290"/>
      <c r="J176" s="237" t="s">
        <v>305</v>
      </c>
      <c r="L176" s="304"/>
      <c r="M176" s="304"/>
      <c r="N176" s="304"/>
      <c r="O176" s="304"/>
      <c r="P176" s="304"/>
      <c r="Q176" s="304"/>
      <c r="R176" s="304"/>
    </row>
    <row r="177" spans="1:18" s="27" customFormat="1" x14ac:dyDescent="0.25">
      <c r="A177" s="287"/>
      <c r="B177" s="288"/>
      <c r="C177" s="288"/>
      <c r="D177" s="422" t="s">
        <v>615</v>
      </c>
      <c r="E177" s="423"/>
      <c r="F177" s="288">
        <v>10.3</v>
      </c>
      <c r="G177" s="288">
        <v>0.6</v>
      </c>
      <c r="H177" s="286">
        <v>1</v>
      </c>
      <c r="I177" s="285"/>
      <c r="J177" s="289">
        <f>F177*G177*H177</f>
        <v>6.1800000000000006</v>
      </c>
      <c r="L177" s="304"/>
      <c r="M177" s="304"/>
      <c r="N177" s="304"/>
      <c r="O177" s="304"/>
      <c r="P177" s="304"/>
      <c r="Q177" s="304"/>
      <c r="R177" s="304"/>
    </row>
    <row r="178" spans="1:18" s="27" customFormat="1" x14ac:dyDescent="0.25">
      <c r="A178" s="287"/>
      <c r="B178" s="288"/>
      <c r="C178" s="288"/>
      <c r="D178" s="422" t="s">
        <v>616</v>
      </c>
      <c r="E178" s="423"/>
      <c r="F178" s="288">
        <f>1.6</f>
        <v>1.6</v>
      </c>
      <c r="G178" s="288">
        <v>0.2</v>
      </c>
      <c r="H178" s="286">
        <v>2</v>
      </c>
      <c r="I178" s="285"/>
      <c r="J178" s="289">
        <f t="shared" ref="J178:J186" si="11">F178*G178*H178</f>
        <v>0.64000000000000012</v>
      </c>
      <c r="L178" s="304"/>
      <c r="M178" s="304"/>
      <c r="N178" s="304"/>
      <c r="O178" s="304"/>
      <c r="P178" s="304"/>
      <c r="Q178" s="304"/>
      <c r="R178" s="304"/>
    </row>
    <row r="179" spans="1:18" s="27" customFormat="1" x14ac:dyDescent="0.25">
      <c r="A179" s="287"/>
      <c r="B179" s="288"/>
      <c r="C179" s="288"/>
      <c r="D179" s="422" t="s">
        <v>621</v>
      </c>
      <c r="E179" s="423"/>
      <c r="F179" s="288">
        <v>7.7</v>
      </c>
      <c r="G179" s="288">
        <v>0.6</v>
      </c>
      <c r="H179" s="286">
        <v>1</v>
      </c>
      <c r="I179" s="285"/>
      <c r="J179" s="289">
        <f t="shared" si="11"/>
        <v>4.62</v>
      </c>
      <c r="L179" s="304"/>
      <c r="M179" s="304"/>
      <c r="N179" s="304"/>
      <c r="O179" s="304"/>
      <c r="P179" s="304"/>
      <c r="Q179" s="304"/>
      <c r="R179" s="304"/>
    </row>
    <row r="180" spans="1:18" s="27" customFormat="1" x14ac:dyDescent="0.25">
      <c r="A180" s="287"/>
      <c r="B180" s="288"/>
      <c r="C180" s="288"/>
      <c r="D180" s="422" t="s">
        <v>617</v>
      </c>
      <c r="E180" s="423"/>
      <c r="F180" s="288">
        <v>5.75</v>
      </c>
      <c r="G180" s="288">
        <v>0.6</v>
      </c>
      <c r="H180" s="286">
        <v>2</v>
      </c>
      <c r="I180" s="285"/>
      <c r="J180" s="289">
        <f t="shared" si="11"/>
        <v>6.8999999999999995</v>
      </c>
      <c r="L180" s="304"/>
      <c r="M180" s="304"/>
      <c r="N180" s="304"/>
      <c r="O180" s="304"/>
      <c r="P180" s="304"/>
      <c r="Q180" s="304"/>
      <c r="R180" s="304"/>
    </row>
    <row r="181" spans="1:18" s="27" customFormat="1" x14ac:dyDescent="0.25">
      <c r="A181" s="287"/>
      <c r="B181" s="288"/>
      <c r="C181" s="288"/>
      <c r="D181" s="422" t="s">
        <v>618</v>
      </c>
      <c r="E181" s="423"/>
      <c r="F181" s="288">
        <v>5.86</v>
      </c>
      <c r="G181" s="288">
        <v>0.6</v>
      </c>
      <c r="H181" s="286">
        <v>1</v>
      </c>
      <c r="I181" s="285"/>
      <c r="J181" s="289">
        <f t="shared" si="11"/>
        <v>3.516</v>
      </c>
      <c r="L181" s="304"/>
      <c r="M181" s="304"/>
      <c r="N181" s="304"/>
      <c r="O181" s="304"/>
      <c r="P181" s="304"/>
      <c r="Q181" s="304"/>
      <c r="R181" s="304"/>
    </row>
    <row r="182" spans="1:18" s="27" customFormat="1" ht="16.5" customHeight="1" x14ac:dyDescent="0.25">
      <c r="A182" s="287"/>
      <c r="B182" s="288"/>
      <c r="C182" s="288"/>
      <c r="D182" s="422" t="s">
        <v>619</v>
      </c>
      <c r="E182" s="423"/>
      <c r="F182" s="288">
        <f>7.7</f>
        <v>7.7</v>
      </c>
      <c r="G182" s="288">
        <v>0.6</v>
      </c>
      <c r="H182" s="286">
        <v>1</v>
      </c>
      <c r="I182" s="285"/>
      <c r="J182" s="289">
        <f t="shared" si="11"/>
        <v>4.62</v>
      </c>
    </row>
    <row r="183" spans="1:18" s="27" customFormat="1" x14ac:dyDescent="0.25">
      <c r="A183" s="287"/>
      <c r="B183" s="288"/>
      <c r="C183" s="288"/>
      <c r="D183" s="422" t="s">
        <v>627</v>
      </c>
      <c r="E183" s="423"/>
      <c r="F183" s="288">
        <f>2.13</f>
        <v>2.13</v>
      </c>
      <c r="G183" s="288">
        <v>0.2</v>
      </c>
      <c r="H183" s="286">
        <v>2</v>
      </c>
      <c r="I183" s="286"/>
      <c r="J183" s="292">
        <f t="shared" si="11"/>
        <v>0.85199999999999998</v>
      </c>
    </row>
    <row r="184" spans="1:18" s="27" customFormat="1" x14ac:dyDescent="0.25">
      <c r="A184" s="287"/>
      <c r="B184" s="288"/>
      <c r="C184" s="288"/>
      <c r="D184" s="422" t="s">
        <v>626</v>
      </c>
      <c r="E184" s="423"/>
      <c r="F184" s="288">
        <f>2.13</f>
        <v>2.13</v>
      </c>
      <c r="G184" s="288">
        <v>0.6</v>
      </c>
      <c r="H184" s="286">
        <v>1</v>
      </c>
      <c r="I184" s="286"/>
      <c r="J184" s="292">
        <f t="shared" si="11"/>
        <v>1.2779999999999998</v>
      </c>
    </row>
    <row r="185" spans="1:18" s="27" customFormat="1" x14ac:dyDescent="0.25">
      <c r="A185" s="287"/>
      <c r="B185" s="288"/>
      <c r="C185" s="288"/>
      <c r="D185" s="457" t="s">
        <v>620</v>
      </c>
      <c r="E185" s="458"/>
      <c r="F185" s="288">
        <v>5.75</v>
      </c>
      <c r="G185" s="288">
        <v>0.2</v>
      </c>
      <c r="H185" s="286">
        <f>2*4</f>
        <v>8</v>
      </c>
      <c r="I185" s="286"/>
      <c r="J185" s="292">
        <f t="shared" si="11"/>
        <v>9.2000000000000011</v>
      </c>
      <c r="L185" s="304"/>
      <c r="M185" s="304"/>
      <c r="N185" s="304"/>
      <c r="O185" s="304"/>
      <c r="P185" s="304"/>
      <c r="Q185" s="304"/>
      <c r="R185" s="304"/>
    </row>
    <row r="186" spans="1:18" s="27" customFormat="1" x14ac:dyDescent="0.25">
      <c r="A186" s="287"/>
      <c r="B186" s="288"/>
      <c r="C186" s="288"/>
      <c r="D186" s="457" t="s">
        <v>322</v>
      </c>
      <c r="E186" s="458"/>
      <c r="F186" s="288">
        <f>2.5*2+4</f>
        <v>9</v>
      </c>
      <c r="G186" s="288">
        <v>0.2</v>
      </c>
      <c r="H186" s="286">
        <v>1</v>
      </c>
      <c r="I186" s="286"/>
      <c r="J186" s="292">
        <f t="shared" si="11"/>
        <v>1.8</v>
      </c>
      <c r="L186" s="304"/>
      <c r="M186" s="304"/>
      <c r="N186" s="304"/>
      <c r="O186" s="304"/>
      <c r="P186" s="304"/>
      <c r="Q186" s="304"/>
      <c r="R186" s="304"/>
    </row>
    <row r="187" spans="1:18" s="27" customFormat="1" x14ac:dyDescent="0.25">
      <c r="A187" s="287"/>
      <c r="B187" s="288"/>
      <c r="C187" s="288"/>
      <c r="D187" s="453" t="s">
        <v>430</v>
      </c>
      <c r="E187" s="453"/>
      <c r="F187" s="453"/>
      <c r="G187" s="453"/>
      <c r="H187" s="453"/>
      <c r="I187" s="285"/>
      <c r="J187" s="244">
        <f>SUM(J177:J186)</f>
        <v>39.606000000000002</v>
      </c>
      <c r="L187" s="304"/>
      <c r="M187" s="304"/>
      <c r="N187" s="304"/>
      <c r="O187" s="304"/>
      <c r="P187" s="304"/>
      <c r="Q187" s="304"/>
      <c r="R187" s="304"/>
    </row>
    <row r="188" spans="1:18" s="27" customFormat="1" x14ac:dyDescent="0.25">
      <c r="A188" s="424"/>
      <c r="B188" s="425"/>
      <c r="C188" s="425"/>
      <c r="D188" s="425"/>
      <c r="E188" s="425"/>
      <c r="F188" s="425"/>
      <c r="G188" s="425"/>
      <c r="H188" s="425"/>
      <c r="I188" s="425"/>
      <c r="J188" s="426"/>
    </row>
    <row r="189" spans="1:18" ht="31.5" customHeight="1" x14ac:dyDescent="0.25">
      <c r="A189" s="232" t="s">
        <v>426</v>
      </c>
      <c r="B189" s="219" t="s">
        <v>336</v>
      </c>
      <c r="C189" s="219" t="s">
        <v>95</v>
      </c>
      <c r="D189" s="432" t="s">
        <v>686</v>
      </c>
      <c r="E189" s="432"/>
      <c r="F189" s="432"/>
      <c r="G189" s="432"/>
      <c r="H189" s="432"/>
      <c r="I189" s="219" t="s">
        <v>284</v>
      </c>
      <c r="J189" s="233">
        <f>SUM(J192:J193)</f>
        <v>3.12</v>
      </c>
    </row>
    <row r="190" spans="1:18" x14ac:dyDescent="0.25">
      <c r="A190" s="234"/>
      <c r="B190" s="221"/>
      <c r="C190" s="221"/>
      <c r="D190" s="439" t="s">
        <v>434</v>
      </c>
      <c r="E190" s="439"/>
      <c r="F190" s="439"/>
      <c r="G190" s="439"/>
      <c r="H190" s="439"/>
      <c r="I190" s="221"/>
      <c r="J190" s="235"/>
    </row>
    <row r="191" spans="1:18" x14ac:dyDescent="0.25">
      <c r="A191" s="234"/>
      <c r="B191" s="221"/>
      <c r="C191" s="221"/>
      <c r="D191" s="439" t="s">
        <v>318</v>
      </c>
      <c r="E191" s="439"/>
      <c r="F191" s="439" t="s">
        <v>432</v>
      </c>
      <c r="G191" s="439"/>
      <c r="H191" s="219" t="s">
        <v>433</v>
      </c>
      <c r="I191" s="219"/>
      <c r="J191" s="237" t="s">
        <v>305</v>
      </c>
    </row>
    <row r="192" spans="1:18" x14ac:dyDescent="0.25">
      <c r="A192" s="234"/>
      <c r="B192" s="221"/>
      <c r="C192" s="221"/>
      <c r="D192" s="449" t="s">
        <v>334</v>
      </c>
      <c r="E192" s="449"/>
      <c r="F192" s="449">
        <v>2.6</v>
      </c>
      <c r="G192" s="449"/>
      <c r="H192" s="222">
        <v>0.6</v>
      </c>
      <c r="I192" s="220"/>
      <c r="J192" s="239">
        <f>H192*F192</f>
        <v>1.56</v>
      </c>
    </row>
    <row r="193" spans="1:10" x14ac:dyDescent="0.25">
      <c r="A193" s="234"/>
      <c r="B193" s="221"/>
      <c r="C193" s="221"/>
      <c r="D193" s="449" t="s">
        <v>335</v>
      </c>
      <c r="E193" s="449"/>
      <c r="F193" s="449">
        <v>2.6</v>
      </c>
      <c r="G193" s="449"/>
      <c r="H193" s="222">
        <v>0.6</v>
      </c>
      <c r="I193" s="222"/>
      <c r="J193" s="239">
        <f>H193*F193</f>
        <v>1.56</v>
      </c>
    </row>
    <row r="194" spans="1:10" s="27" customFormat="1" x14ac:dyDescent="0.25">
      <c r="A194" s="424"/>
      <c r="B194" s="425"/>
      <c r="C194" s="425"/>
      <c r="D194" s="425"/>
      <c r="E194" s="425"/>
      <c r="F194" s="425"/>
      <c r="G194" s="425"/>
      <c r="H194" s="425"/>
      <c r="I194" s="425"/>
      <c r="J194" s="426"/>
    </row>
    <row r="195" spans="1:10" s="27" customFormat="1" ht="35.25" customHeight="1" x14ac:dyDescent="0.25">
      <c r="A195" s="232" t="s">
        <v>427</v>
      </c>
      <c r="B195" s="260" t="s">
        <v>559</v>
      </c>
      <c r="C195" s="260" t="s">
        <v>95</v>
      </c>
      <c r="D195" s="433" t="s">
        <v>560</v>
      </c>
      <c r="E195" s="433"/>
      <c r="F195" s="433"/>
      <c r="G195" s="433"/>
      <c r="H195" s="433"/>
      <c r="I195" s="260" t="s">
        <v>215</v>
      </c>
      <c r="J195" s="233">
        <f>SUM(J197:J197)</f>
        <v>4.4000000000000004</v>
      </c>
    </row>
    <row r="196" spans="1:10" s="27" customFormat="1" x14ac:dyDescent="0.25">
      <c r="A196" s="262"/>
      <c r="B196" s="261"/>
      <c r="C196" s="261"/>
      <c r="D196" s="439" t="s">
        <v>318</v>
      </c>
      <c r="E196" s="439"/>
      <c r="F196" s="439" t="s">
        <v>303</v>
      </c>
      <c r="G196" s="439"/>
      <c r="H196" s="260" t="s">
        <v>562</v>
      </c>
      <c r="I196" s="260" t="s">
        <v>421</v>
      </c>
      <c r="J196" s="237" t="s">
        <v>305</v>
      </c>
    </row>
    <row r="197" spans="1:10" s="27" customFormat="1" x14ac:dyDescent="0.25">
      <c r="A197" s="262"/>
      <c r="B197" s="261"/>
      <c r="C197" s="261"/>
      <c r="D197" s="449" t="s">
        <v>561</v>
      </c>
      <c r="E197" s="449"/>
      <c r="F197" s="449">
        <v>1.1000000000000001</v>
      </c>
      <c r="G197" s="449"/>
      <c r="H197" s="259">
        <v>4</v>
      </c>
      <c r="I197" s="259">
        <v>1</v>
      </c>
      <c r="J197" s="264">
        <f>I197*H197*F197</f>
        <v>4.4000000000000004</v>
      </c>
    </row>
    <row r="198" spans="1:10" x14ac:dyDescent="0.25">
      <c r="A198" s="424"/>
      <c r="B198" s="425"/>
      <c r="C198" s="425"/>
      <c r="D198" s="425"/>
      <c r="E198" s="425"/>
      <c r="F198" s="425"/>
      <c r="G198" s="425"/>
      <c r="H198" s="425"/>
      <c r="I198" s="425"/>
      <c r="J198" s="426"/>
    </row>
    <row r="199" spans="1:10" x14ac:dyDescent="0.25">
      <c r="A199" s="231" t="s">
        <v>133</v>
      </c>
      <c r="B199" s="430" t="s">
        <v>134</v>
      </c>
      <c r="C199" s="430"/>
      <c r="D199" s="430"/>
      <c r="E199" s="430"/>
      <c r="F199" s="430"/>
      <c r="G199" s="430"/>
      <c r="H199" s="430"/>
      <c r="I199" s="430"/>
      <c r="J199" s="431"/>
    </row>
    <row r="200" spans="1:10" x14ac:dyDescent="0.25">
      <c r="A200" s="424"/>
      <c r="B200" s="425"/>
      <c r="C200" s="425"/>
      <c r="D200" s="425"/>
      <c r="E200" s="425"/>
      <c r="F200" s="425"/>
      <c r="G200" s="425"/>
      <c r="H200" s="425"/>
      <c r="I200" s="425"/>
      <c r="J200" s="426"/>
    </row>
    <row r="201" spans="1:10" ht="34.5" customHeight="1" x14ac:dyDescent="0.25">
      <c r="A201" s="232" t="s">
        <v>135</v>
      </c>
      <c r="B201" s="368">
        <v>90822</v>
      </c>
      <c r="C201" s="219" t="s">
        <v>95</v>
      </c>
      <c r="D201" s="432" t="s">
        <v>688</v>
      </c>
      <c r="E201" s="432"/>
      <c r="F201" s="432"/>
      <c r="G201" s="432"/>
      <c r="H201" s="432"/>
      <c r="I201" s="219" t="s">
        <v>337</v>
      </c>
      <c r="J201" s="233">
        <f>SUM(J203:J206)</f>
        <v>4</v>
      </c>
    </row>
    <row r="202" spans="1:10" x14ac:dyDescent="0.25">
      <c r="A202" s="234"/>
      <c r="B202" s="221"/>
      <c r="C202" s="221"/>
      <c r="D202" s="439" t="s">
        <v>318</v>
      </c>
      <c r="E202" s="439"/>
      <c r="F202" s="439"/>
      <c r="G202" s="439"/>
      <c r="H202" s="219"/>
      <c r="I202" s="219"/>
      <c r="J202" s="237" t="s">
        <v>305</v>
      </c>
    </row>
    <row r="203" spans="1:10" x14ac:dyDescent="0.25">
      <c r="A203" s="234"/>
      <c r="B203" s="221"/>
      <c r="C203" s="221"/>
      <c r="D203" s="425" t="s">
        <v>332</v>
      </c>
      <c r="E203" s="425"/>
      <c r="F203" s="439"/>
      <c r="G203" s="439"/>
      <c r="H203" s="219"/>
      <c r="I203" s="224">
        <v>1</v>
      </c>
      <c r="J203" s="238">
        <f>I203</f>
        <v>1</v>
      </c>
    </row>
    <row r="204" spans="1:10" x14ac:dyDescent="0.25">
      <c r="A204" s="234"/>
      <c r="B204" s="221"/>
      <c r="C204" s="221"/>
      <c r="D204" s="425" t="s">
        <v>333</v>
      </c>
      <c r="E204" s="425"/>
      <c r="F204" s="439"/>
      <c r="G204" s="439"/>
      <c r="H204" s="219"/>
      <c r="I204" s="224">
        <v>1</v>
      </c>
      <c r="J204" s="238">
        <f>I204</f>
        <v>1</v>
      </c>
    </row>
    <row r="205" spans="1:10" x14ac:dyDescent="0.25">
      <c r="A205" s="234"/>
      <c r="B205" s="221"/>
      <c r="C205" s="221"/>
      <c r="D205" s="449" t="s">
        <v>334</v>
      </c>
      <c r="E205" s="449"/>
      <c r="F205" s="449"/>
      <c r="G205" s="449"/>
      <c r="H205" s="222"/>
      <c r="I205" s="224">
        <v>1</v>
      </c>
      <c r="J205" s="238">
        <f>I205</f>
        <v>1</v>
      </c>
    </row>
    <row r="206" spans="1:10" x14ac:dyDescent="0.25">
      <c r="A206" s="234"/>
      <c r="B206" s="221"/>
      <c r="C206" s="221"/>
      <c r="D206" s="449" t="s">
        <v>335</v>
      </c>
      <c r="E206" s="449"/>
      <c r="F206" s="449"/>
      <c r="G206" s="449"/>
      <c r="H206" s="222"/>
      <c r="I206" s="224">
        <v>1</v>
      </c>
      <c r="J206" s="238">
        <f>I206</f>
        <v>1</v>
      </c>
    </row>
    <row r="207" spans="1:10" x14ac:dyDescent="0.25">
      <c r="A207" s="424"/>
      <c r="B207" s="425"/>
      <c r="C207" s="425"/>
      <c r="D207" s="425"/>
      <c r="E207" s="425"/>
      <c r="F207" s="425"/>
      <c r="G207" s="425"/>
      <c r="H207" s="425"/>
      <c r="I207" s="425"/>
      <c r="J207" s="426"/>
    </row>
    <row r="208" spans="1:10" x14ac:dyDescent="0.25">
      <c r="A208" s="231" t="s">
        <v>136</v>
      </c>
      <c r="B208" s="430" t="s">
        <v>338</v>
      </c>
      <c r="C208" s="430"/>
      <c r="D208" s="430"/>
      <c r="E208" s="430"/>
      <c r="F208" s="430"/>
      <c r="G208" s="430"/>
      <c r="H208" s="430"/>
      <c r="I208" s="430"/>
      <c r="J208" s="431"/>
    </row>
    <row r="209" spans="1:10" x14ac:dyDescent="0.25">
      <c r="A209" s="424"/>
      <c r="B209" s="425"/>
      <c r="C209" s="425"/>
      <c r="D209" s="425"/>
      <c r="E209" s="425"/>
      <c r="F209" s="425"/>
      <c r="G209" s="425"/>
      <c r="H209" s="425"/>
      <c r="I209" s="425"/>
      <c r="J209" s="426"/>
    </row>
    <row r="210" spans="1:10" ht="26.25" customHeight="1" x14ac:dyDescent="0.25">
      <c r="A210" s="232" t="s">
        <v>138</v>
      </c>
      <c r="B210" s="368">
        <v>91341</v>
      </c>
      <c r="C210" s="219" t="s">
        <v>95</v>
      </c>
      <c r="D210" s="433" t="s">
        <v>139</v>
      </c>
      <c r="E210" s="433"/>
      <c r="F210" s="433"/>
      <c r="G210" s="433"/>
      <c r="H210" s="433"/>
      <c r="I210" s="219" t="s">
        <v>284</v>
      </c>
      <c r="J210" s="233">
        <f>SUM(J212:J213)</f>
        <v>3.9600000000000004</v>
      </c>
    </row>
    <row r="211" spans="1:10" x14ac:dyDescent="0.25">
      <c r="A211" s="234"/>
      <c r="B211" s="221"/>
      <c r="C211" s="221"/>
      <c r="D211" s="439" t="s">
        <v>318</v>
      </c>
      <c r="E211" s="439"/>
      <c r="F211" s="439" t="s">
        <v>304</v>
      </c>
      <c r="G211" s="439"/>
      <c r="H211" s="219" t="s">
        <v>303</v>
      </c>
      <c r="I211" s="219" t="s">
        <v>327</v>
      </c>
      <c r="J211" s="237" t="s">
        <v>305</v>
      </c>
    </row>
    <row r="212" spans="1:10" x14ac:dyDescent="0.25">
      <c r="A212" s="234"/>
      <c r="B212" s="221"/>
      <c r="C212" s="221"/>
      <c r="D212" s="449" t="s">
        <v>334</v>
      </c>
      <c r="E212" s="449"/>
      <c r="F212" s="449">
        <v>0.55000000000000004</v>
      </c>
      <c r="G212" s="449"/>
      <c r="H212" s="222">
        <v>1.8</v>
      </c>
      <c r="I212" s="222">
        <v>2</v>
      </c>
      <c r="J212" s="239">
        <f>I212*H212*F212</f>
        <v>1.9800000000000002</v>
      </c>
    </row>
    <row r="213" spans="1:10" x14ac:dyDescent="0.25">
      <c r="A213" s="234"/>
      <c r="B213" s="221"/>
      <c r="C213" s="221"/>
      <c r="D213" s="449" t="s">
        <v>335</v>
      </c>
      <c r="E213" s="449"/>
      <c r="F213" s="449">
        <v>0.55000000000000004</v>
      </c>
      <c r="G213" s="449"/>
      <c r="H213" s="222">
        <v>1.8</v>
      </c>
      <c r="I213" s="222">
        <v>2</v>
      </c>
      <c r="J213" s="239">
        <f>I213*H213*F213</f>
        <v>1.9800000000000002</v>
      </c>
    </row>
    <row r="214" spans="1:10" s="27" customFormat="1" x14ac:dyDescent="0.25">
      <c r="A214" s="424"/>
      <c r="B214" s="425"/>
      <c r="C214" s="425"/>
      <c r="D214" s="425"/>
      <c r="E214" s="425"/>
      <c r="F214" s="425"/>
      <c r="G214" s="425"/>
      <c r="H214" s="425"/>
      <c r="I214" s="425"/>
      <c r="J214" s="426"/>
    </row>
    <row r="215" spans="1:10" s="27" customFormat="1" ht="32.25" customHeight="1" x14ac:dyDescent="0.25">
      <c r="A215" s="232" t="s">
        <v>435</v>
      </c>
      <c r="B215" s="219" t="s">
        <v>436</v>
      </c>
      <c r="C215" s="219" t="s">
        <v>95</v>
      </c>
      <c r="D215" s="432" t="s">
        <v>567</v>
      </c>
      <c r="E215" s="432"/>
      <c r="F215" s="432"/>
      <c r="G215" s="432"/>
      <c r="H215" s="432"/>
      <c r="I215" s="219" t="s">
        <v>284</v>
      </c>
      <c r="J215" s="233">
        <f>SUM(J217:J218)</f>
        <v>11</v>
      </c>
    </row>
    <row r="216" spans="1:10" s="27" customFormat="1" x14ac:dyDescent="0.25">
      <c r="A216" s="234"/>
      <c r="B216" s="221"/>
      <c r="C216" s="221"/>
      <c r="D216" s="439" t="s">
        <v>318</v>
      </c>
      <c r="E216" s="439"/>
      <c r="F216" s="439" t="s">
        <v>303</v>
      </c>
      <c r="G216" s="439"/>
      <c r="H216" s="219" t="s">
        <v>433</v>
      </c>
      <c r="I216" s="219" t="s">
        <v>327</v>
      </c>
      <c r="J216" s="237" t="s">
        <v>305</v>
      </c>
    </row>
    <row r="217" spans="1:10" s="27" customFormat="1" x14ac:dyDescent="0.25">
      <c r="A217" s="234"/>
      <c r="B217" s="221"/>
      <c r="C217" s="221"/>
      <c r="D217" s="425" t="s">
        <v>332</v>
      </c>
      <c r="E217" s="425"/>
      <c r="F217" s="449">
        <v>2.5</v>
      </c>
      <c r="G217" s="449"/>
      <c r="H217" s="222">
        <v>1.1000000000000001</v>
      </c>
      <c r="I217" s="222">
        <v>2</v>
      </c>
      <c r="J217" s="239">
        <f>I217*H217*F217</f>
        <v>5.5</v>
      </c>
    </row>
    <row r="218" spans="1:10" s="27" customFormat="1" x14ac:dyDescent="0.25">
      <c r="A218" s="234"/>
      <c r="B218" s="221"/>
      <c r="C218" s="221"/>
      <c r="D218" s="425" t="s">
        <v>333</v>
      </c>
      <c r="E218" s="425"/>
      <c r="F218" s="449">
        <v>2.5</v>
      </c>
      <c r="G218" s="449"/>
      <c r="H218" s="222">
        <v>1.1000000000000001</v>
      </c>
      <c r="I218" s="222">
        <v>2</v>
      </c>
      <c r="J218" s="239">
        <f>I218*H218*F218</f>
        <v>5.5</v>
      </c>
    </row>
    <row r="219" spans="1:10" s="27" customFormat="1" x14ac:dyDescent="0.25">
      <c r="A219" s="424"/>
      <c r="B219" s="425"/>
      <c r="C219" s="425"/>
      <c r="D219" s="425"/>
      <c r="E219" s="425"/>
      <c r="F219" s="425"/>
      <c r="G219" s="425"/>
      <c r="H219" s="425"/>
      <c r="I219" s="425"/>
      <c r="J219" s="426"/>
    </row>
    <row r="220" spans="1:10" x14ac:dyDescent="0.25">
      <c r="A220" s="231" t="s">
        <v>140</v>
      </c>
      <c r="B220" s="430" t="s">
        <v>339</v>
      </c>
      <c r="C220" s="430"/>
      <c r="D220" s="430"/>
      <c r="E220" s="430"/>
      <c r="F220" s="430"/>
      <c r="G220" s="430"/>
      <c r="H220" s="430"/>
      <c r="I220" s="430"/>
      <c r="J220" s="431"/>
    </row>
    <row r="221" spans="1:10" x14ac:dyDescent="0.25">
      <c r="A221" s="424"/>
      <c r="B221" s="425"/>
      <c r="C221" s="425"/>
      <c r="D221" s="425"/>
      <c r="E221" s="425"/>
      <c r="F221" s="425"/>
      <c r="G221" s="425"/>
      <c r="H221" s="425"/>
      <c r="I221" s="425"/>
      <c r="J221" s="426"/>
    </row>
    <row r="222" spans="1:10" ht="14.25" customHeight="1" x14ac:dyDescent="0.25">
      <c r="A222" s="424"/>
      <c r="B222" s="425"/>
      <c r="C222" s="425"/>
      <c r="D222" s="425"/>
      <c r="E222" s="425"/>
      <c r="F222" s="425"/>
      <c r="G222" s="425"/>
      <c r="H222" s="425"/>
      <c r="I222" s="425"/>
      <c r="J222" s="426"/>
    </row>
    <row r="223" spans="1:10" ht="25.5" customHeight="1" x14ac:dyDescent="0.25">
      <c r="A223" s="232" t="s">
        <v>141</v>
      </c>
      <c r="B223" s="219">
        <v>88648</v>
      </c>
      <c r="C223" s="219" t="s">
        <v>95</v>
      </c>
      <c r="D223" s="433" t="s">
        <v>500</v>
      </c>
      <c r="E223" s="433"/>
      <c r="F223" s="433"/>
      <c r="G223" s="433"/>
      <c r="H223" s="433"/>
      <c r="I223" s="219" t="s">
        <v>284</v>
      </c>
      <c r="J223" s="233">
        <f>SUM(J226:J230)</f>
        <v>8.7696000000000005</v>
      </c>
    </row>
    <row r="224" spans="1:10" x14ac:dyDescent="0.25">
      <c r="A224" s="234"/>
      <c r="B224" s="221"/>
      <c r="C224" s="221"/>
      <c r="D224" s="439" t="s">
        <v>340</v>
      </c>
      <c r="E224" s="439"/>
      <c r="F224" s="439"/>
      <c r="G224" s="439"/>
      <c r="H224" s="439"/>
      <c r="I224" s="221"/>
      <c r="J224" s="235"/>
    </row>
    <row r="225" spans="1:10" x14ac:dyDescent="0.25">
      <c r="A225" s="234"/>
      <c r="B225" s="221"/>
      <c r="C225" s="221"/>
      <c r="D225" s="439" t="s">
        <v>318</v>
      </c>
      <c r="E225" s="439"/>
      <c r="F225" s="439" t="s">
        <v>331</v>
      </c>
      <c r="G225" s="439"/>
      <c r="H225" s="219" t="s">
        <v>311</v>
      </c>
      <c r="I225" s="219" t="s">
        <v>319</v>
      </c>
      <c r="J225" s="237" t="s">
        <v>305</v>
      </c>
    </row>
    <row r="226" spans="1:10" x14ac:dyDescent="0.25">
      <c r="A226" s="234"/>
      <c r="B226" s="221"/>
      <c r="C226" s="221"/>
      <c r="D226" s="449" t="s">
        <v>332</v>
      </c>
      <c r="E226" s="449"/>
      <c r="F226" s="449">
        <f>7+7+5.1+5.1</f>
        <v>24.200000000000003</v>
      </c>
      <c r="G226" s="449"/>
      <c r="H226" s="222">
        <v>7.0000000000000007E-2</v>
      </c>
      <c r="I226" s="222">
        <v>1</v>
      </c>
      <c r="J226" s="239">
        <f>I226*H226*F226</f>
        <v>1.6940000000000004</v>
      </c>
    </row>
    <row r="227" spans="1:10" x14ac:dyDescent="0.25">
      <c r="A227" s="234"/>
      <c r="B227" s="221"/>
      <c r="C227" s="221"/>
      <c r="D227" s="449" t="s">
        <v>333</v>
      </c>
      <c r="E227" s="449"/>
      <c r="F227" s="449">
        <f>7+7+5.1+5.1</f>
        <v>24.200000000000003</v>
      </c>
      <c r="G227" s="449"/>
      <c r="H227" s="222">
        <v>7.0000000000000007E-2</v>
      </c>
      <c r="I227" s="222">
        <v>1</v>
      </c>
      <c r="J227" s="239">
        <f>I227*H227*F227</f>
        <v>1.6940000000000004</v>
      </c>
    </row>
    <row r="228" spans="1:10" s="27" customFormat="1" x14ac:dyDescent="0.25">
      <c r="A228" s="287"/>
      <c r="B228" s="288"/>
      <c r="C228" s="288"/>
      <c r="D228" s="449" t="s">
        <v>431</v>
      </c>
      <c r="E228" s="449"/>
      <c r="F228" s="449">
        <v>17.190000000000001</v>
      </c>
      <c r="G228" s="449"/>
      <c r="H228" s="286">
        <v>7.0000000000000007E-2</v>
      </c>
      <c r="I228" s="286">
        <v>2</v>
      </c>
      <c r="J228" s="292">
        <f>I228*H228*F228</f>
        <v>2.4066000000000005</v>
      </c>
    </row>
    <row r="229" spans="1:10" s="27" customFormat="1" x14ac:dyDescent="0.25">
      <c r="A229" s="287"/>
      <c r="B229" s="288"/>
      <c r="C229" s="288"/>
      <c r="D229" s="449" t="s">
        <v>630</v>
      </c>
      <c r="E229" s="449"/>
      <c r="F229" s="449">
        <f>20.5-0.8*4</f>
        <v>17.3</v>
      </c>
      <c r="G229" s="449"/>
      <c r="H229" s="286">
        <v>7.0000000000000007E-2</v>
      </c>
      <c r="I229" s="286">
        <v>1</v>
      </c>
      <c r="J229" s="292">
        <f>I229*H229*F229</f>
        <v>1.2110000000000001</v>
      </c>
    </row>
    <row r="230" spans="1:10" s="27" customFormat="1" x14ac:dyDescent="0.25">
      <c r="A230" s="287"/>
      <c r="B230" s="288"/>
      <c r="C230" s="288"/>
      <c r="D230" s="449" t="s">
        <v>629</v>
      </c>
      <c r="E230" s="449"/>
      <c r="F230" s="449">
        <v>12.6</v>
      </c>
      <c r="G230" s="449"/>
      <c r="H230" s="286">
        <v>7.0000000000000007E-2</v>
      </c>
      <c r="I230" s="286">
        <v>2</v>
      </c>
      <c r="J230" s="292">
        <f>I230*H230*F230</f>
        <v>1.764</v>
      </c>
    </row>
    <row r="231" spans="1:10" x14ac:dyDescent="0.25">
      <c r="A231" s="424"/>
      <c r="B231" s="425"/>
      <c r="C231" s="425"/>
      <c r="D231" s="425"/>
      <c r="E231" s="425"/>
      <c r="F231" s="425"/>
      <c r="G231" s="425"/>
      <c r="H231" s="425"/>
      <c r="I231" s="425"/>
      <c r="J231" s="426"/>
    </row>
    <row r="232" spans="1:10" s="27" customFormat="1" ht="25.5" customHeight="1" x14ac:dyDescent="0.25">
      <c r="A232" s="232" t="s">
        <v>142</v>
      </c>
      <c r="B232" s="290">
        <v>130308</v>
      </c>
      <c r="C232" s="290" t="s">
        <v>424</v>
      </c>
      <c r="D232" s="433" t="s">
        <v>631</v>
      </c>
      <c r="E232" s="433"/>
      <c r="F232" s="433"/>
      <c r="G232" s="433"/>
      <c r="H232" s="433"/>
      <c r="I232" s="290" t="s">
        <v>215</v>
      </c>
      <c r="J232" s="233">
        <f>SUM(J235:J237)</f>
        <v>3.2</v>
      </c>
    </row>
    <row r="233" spans="1:10" s="27" customFormat="1" x14ac:dyDescent="0.25">
      <c r="A233" s="287"/>
      <c r="B233" s="288"/>
      <c r="C233" s="288"/>
      <c r="D233" s="439" t="s">
        <v>303</v>
      </c>
      <c r="E233" s="439"/>
      <c r="F233" s="439"/>
      <c r="G233" s="439"/>
      <c r="H233" s="439"/>
      <c r="I233" s="288"/>
      <c r="J233" s="289"/>
    </row>
    <row r="234" spans="1:10" s="27" customFormat="1" x14ac:dyDescent="0.25">
      <c r="A234" s="287"/>
      <c r="B234" s="288"/>
      <c r="C234" s="288"/>
      <c r="D234" s="439" t="s">
        <v>318</v>
      </c>
      <c r="E234" s="439"/>
      <c r="F234" s="439" t="s">
        <v>331</v>
      </c>
      <c r="G234" s="439"/>
      <c r="H234" s="290"/>
      <c r="I234" s="290" t="s">
        <v>319</v>
      </c>
      <c r="J234" s="237" t="s">
        <v>305</v>
      </c>
    </row>
    <row r="235" spans="1:10" s="27" customFormat="1" x14ac:dyDescent="0.25">
      <c r="A235" s="287"/>
      <c r="B235" s="288"/>
      <c r="C235" s="288"/>
      <c r="D235" s="449" t="s">
        <v>332</v>
      </c>
      <c r="E235" s="449"/>
      <c r="F235" s="449">
        <v>0.8</v>
      </c>
      <c r="G235" s="449"/>
      <c r="H235" s="286">
        <v>1</v>
      </c>
      <c r="I235" s="286">
        <v>1</v>
      </c>
      <c r="J235" s="292">
        <f>I235*H235*F235</f>
        <v>0.8</v>
      </c>
    </row>
    <row r="236" spans="1:10" s="27" customFormat="1" x14ac:dyDescent="0.25">
      <c r="A236" s="287"/>
      <c r="B236" s="288"/>
      <c r="C236" s="288"/>
      <c r="D236" s="449" t="s">
        <v>333</v>
      </c>
      <c r="E236" s="449"/>
      <c r="F236" s="449">
        <v>0.8</v>
      </c>
      <c r="G236" s="449"/>
      <c r="H236" s="286">
        <v>1</v>
      </c>
      <c r="I236" s="286">
        <v>1</v>
      </c>
      <c r="J236" s="292">
        <f>I236*H236*F236</f>
        <v>0.8</v>
      </c>
    </row>
    <row r="237" spans="1:10" s="27" customFormat="1" x14ac:dyDescent="0.25">
      <c r="A237" s="287"/>
      <c r="B237" s="288"/>
      <c r="C237" s="288"/>
      <c r="D237" s="449" t="s">
        <v>431</v>
      </c>
      <c r="E237" s="449"/>
      <c r="F237" s="449">
        <v>1.6</v>
      </c>
      <c r="G237" s="449"/>
      <c r="H237" s="286">
        <v>1</v>
      </c>
      <c r="I237" s="286">
        <v>1</v>
      </c>
      <c r="J237" s="292">
        <f>I237*H237*F237</f>
        <v>1.6</v>
      </c>
    </row>
    <row r="238" spans="1:10" s="27" customFormat="1" x14ac:dyDescent="0.25">
      <c r="A238" s="424"/>
      <c r="B238" s="425"/>
      <c r="C238" s="425"/>
      <c r="D238" s="425"/>
      <c r="E238" s="425"/>
      <c r="F238" s="425"/>
      <c r="G238" s="425"/>
      <c r="H238" s="425"/>
      <c r="I238" s="425"/>
      <c r="J238" s="426"/>
    </row>
    <row r="239" spans="1:10" s="27" customFormat="1" ht="25.5" customHeight="1" x14ac:dyDescent="0.25">
      <c r="A239" s="232" t="s">
        <v>143</v>
      </c>
      <c r="B239" s="290">
        <v>130308</v>
      </c>
      <c r="C239" s="290" t="s">
        <v>424</v>
      </c>
      <c r="D239" s="433" t="s">
        <v>632</v>
      </c>
      <c r="E239" s="433"/>
      <c r="F239" s="433"/>
      <c r="G239" s="433"/>
      <c r="H239" s="433"/>
      <c r="I239" s="290" t="s">
        <v>215</v>
      </c>
      <c r="J239" s="233">
        <f>SUM(J242:J243)</f>
        <v>10</v>
      </c>
    </row>
    <row r="240" spans="1:10" s="27" customFormat="1" x14ac:dyDescent="0.25">
      <c r="A240" s="287"/>
      <c r="B240" s="288"/>
      <c r="C240" s="288"/>
      <c r="D240" s="439" t="s">
        <v>303</v>
      </c>
      <c r="E240" s="439"/>
      <c r="F240" s="439"/>
      <c r="G240" s="439"/>
      <c r="H240" s="439"/>
      <c r="I240" s="288"/>
      <c r="J240" s="289"/>
    </row>
    <row r="241" spans="1:10" s="27" customFormat="1" x14ac:dyDescent="0.25">
      <c r="A241" s="287"/>
      <c r="B241" s="288"/>
      <c r="C241" s="288"/>
      <c r="D241" s="439" t="s">
        <v>318</v>
      </c>
      <c r="E241" s="439"/>
      <c r="F241" s="439" t="s">
        <v>331</v>
      </c>
      <c r="G241" s="439"/>
      <c r="H241" s="290"/>
      <c r="I241" s="290" t="s">
        <v>319</v>
      </c>
      <c r="J241" s="237" t="s">
        <v>305</v>
      </c>
    </row>
    <row r="242" spans="1:10" s="27" customFormat="1" x14ac:dyDescent="0.25">
      <c r="A242" s="287"/>
      <c r="B242" s="288"/>
      <c r="C242" s="288"/>
      <c r="D242" s="449" t="s">
        <v>332</v>
      </c>
      <c r="E242" s="449"/>
      <c r="F242" s="449">
        <v>2.5</v>
      </c>
      <c r="G242" s="449"/>
      <c r="H242" s="286">
        <v>2</v>
      </c>
      <c r="I242" s="286">
        <v>1</v>
      </c>
      <c r="J242" s="292">
        <f>I242*H242*F242</f>
        <v>5</v>
      </c>
    </row>
    <row r="243" spans="1:10" s="27" customFormat="1" x14ac:dyDescent="0.25">
      <c r="A243" s="287"/>
      <c r="B243" s="288"/>
      <c r="C243" s="288"/>
      <c r="D243" s="449" t="s">
        <v>333</v>
      </c>
      <c r="E243" s="449"/>
      <c r="F243" s="449">
        <v>2.5</v>
      </c>
      <c r="G243" s="449"/>
      <c r="H243" s="286">
        <v>2</v>
      </c>
      <c r="I243" s="286">
        <v>1</v>
      </c>
      <c r="J243" s="292">
        <f>I243*H243*F243</f>
        <v>5</v>
      </c>
    </row>
    <row r="244" spans="1:10" s="27" customFormat="1" x14ac:dyDescent="0.25">
      <c r="A244" s="424"/>
      <c r="B244" s="425"/>
      <c r="C244" s="425"/>
      <c r="D244" s="425"/>
      <c r="E244" s="425"/>
      <c r="F244" s="425"/>
      <c r="G244" s="425"/>
      <c r="H244" s="425"/>
      <c r="I244" s="425"/>
      <c r="J244" s="426"/>
    </row>
    <row r="245" spans="1:10" x14ac:dyDescent="0.25">
      <c r="A245" s="231" t="s">
        <v>144</v>
      </c>
      <c r="B245" s="430" t="s">
        <v>341</v>
      </c>
      <c r="C245" s="430"/>
      <c r="D245" s="430"/>
      <c r="E245" s="430"/>
      <c r="F245" s="430"/>
      <c r="G245" s="430"/>
      <c r="H245" s="430"/>
      <c r="I245" s="430"/>
      <c r="J245" s="431"/>
    </row>
    <row r="246" spans="1:10" x14ac:dyDescent="0.25">
      <c r="A246" s="424"/>
      <c r="B246" s="425"/>
      <c r="C246" s="425"/>
      <c r="D246" s="425"/>
      <c r="E246" s="425"/>
      <c r="F246" s="425"/>
      <c r="G246" s="425"/>
      <c r="H246" s="425"/>
      <c r="I246" s="425"/>
      <c r="J246" s="426"/>
    </row>
    <row r="247" spans="1:10" s="128" customFormat="1" ht="25.5" customHeight="1" x14ac:dyDescent="0.25">
      <c r="A247" s="240" t="s">
        <v>146</v>
      </c>
      <c r="B247" s="225" t="s">
        <v>634</v>
      </c>
      <c r="C247" s="225" t="s">
        <v>95</v>
      </c>
      <c r="D247" s="461" t="s">
        <v>633</v>
      </c>
      <c r="E247" s="461"/>
      <c r="F247" s="461"/>
      <c r="G247" s="461"/>
      <c r="H247" s="461"/>
      <c r="I247" s="225" t="s">
        <v>284</v>
      </c>
      <c r="J247" s="245">
        <f>SUM(J250:J255)</f>
        <v>248.57999999999998</v>
      </c>
    </row>
    <row r="248" spans="1:10" x14ac:dyDescent="0.25">
      <c r="A248" s="234"/>
      <c r="B248" s="221"/>
      <c r="C248" s="221"/>
      <c r="D248" s="439" t="s">
        <v>598</v>
      </c>
      <c r="E248" s="439"/>
      <c r="F248" s="439"/>
      <c r="G248" s="439"/>
      <c r="H248" s="439"/>
      <c r="I248" s="221"/>
      <c r="J248" s="235"/>
    </row>
    <row r="249" spans="1:10" x14ac:dyDescent="0.25">
      <c r="A249" s="234"/>
      <c r="B249" s="221"/>
      <c r="C249" s="221"/>
      <c r="D249" s="439" t="s">
        <v>318</v>
      </c>
      <c r="E249" s="439"/>
      <c r="F249" s="439" t="s">
        <v>635</v>
      </c>
      <c r="G249" s="439"/>
      <c r="H249" s="219"/>
      <c r="I249" s="219"/>
      <c r="J249" s="237" t="s">
        <v>305</v>
      </c>
    </row>
    <row r="250" spans="1:10" x14ac:dyDescent="0.25">
      <c r="A250" s="246"/>
      <c r="B250" s="222"/>
      <c r="C250" s="222"/>
      <c r="D250" s="449" t="s">
        <v>343</v>
      </c>
      <c r="E250" s="449"/>
      <c r="F250" s="449">
        <v>30.97</v>
      </c>
      <c r="G250" s="449"/>
      <c r="H250" s="222"/>
      <c r="I250" s="229"/>
      <c r="J250" s="239">
        <f>F250</f>
        <v>30.97</v>
      </c>
    </row>
    <row r="251" spans="1:10" x14ac:dyDescent="0.25">
      <c r="A251" s="246"/>
      <c r="B251" s="222"/>
      <c r="C251" s="222"/>
      <c r="D251" s="449" t="s">
        <v>344</v>
      </c>
      <c r="E251" s="449"/>
      <c r="F251" s="449">
        <v>30.97</v>
      </c>
      <c r="G251" s="449"/>
      <c r="H251" s="222"/>
      <c r="I251" s="229"/>
      <c r="J251" s="292">
        <f t="shared" ref="J251:J255" si="12">F251</f>
        <v>30.97</v>
      </c>
    </row>
    <row r="252" spans="1:10" x14ac:dyDescent="0.25">
      <c r="A252" s="246"/>
      <c r="B252" s="222"/>
      <c r="C252" s="222"/>
      <c r="D252" s="449" t="s">
        <v>334</v>
      </c>
      <c r="E252" s="449"/>
      <c r="F252" s="449">
        <v>7.35</v>
      </c>
      <c r="G252" s="449"/>
      <c r="H252" s="222"/>
      <c r="I252" s="229"/>
      <c r="J252" s="292">
        <f t="shared" si="12"/>
        <v>7.35</v>
      </c>
    </row>
    <row r="253" spans="1:10" x14ac:dyDescent="0.25">
      <c r="A253" s="246"/>
      <c r="B253" s="222"/>
      <c r="C253" s="222"/>
      <c r="D253" s="449" t="s">
        <v>335</v>
      </c>
      <c r="E253" s="449"/>
      <c r="F253" s="449">
        <v>7.35</v>
      </c>
      <c r="G253" s="449"/>
      <c r="H253" s="222"/>
      <c r="I253" s="229"/>
      <c r="J253" s="292">
        <f t="shared" si="12"/>
        <v>7.35</v>
      </c>
    </row>
    <row r="254" spans="1:10" s="27" customFormat="1" x14ac:dyDescent="0.25">
      <c r="A254" s="246"/>
      <c r="B254" s="222"/>
      <c r="C254" s="222"/>
      <c r="D254" s="449" t="s">
        <v>322</v>
      </c>
      <c r="E254" s="449"/>
      <c r="F254" s="449">
        <v>10.96</v>
      </c>
      <c r="G254" s="449"/>
      <c r="H254" s="222"/>
      <c r="I254" s="229"/>
      <c r="J254" s="292">
        <f t="shared" si="12"/>
        <v>10.96</v>
      </c>
    </row>
    <row r="255" spans="1:10" s="27" customFormat="1" x14ac:dyDescent="0.25">
      <c r="A255" s="246"/>
      <c r="B255" s="222"/>
      <c r="C255" s="222"/>
      <c r="D255" s="449" t="s">
        <v>629</v>
      </c>
      <c r="E255" s="449"/>
      <c r="F255" s="449">
        <v>160.97999999999999</v>
      </c>
      <c r="G255" s="449"/>
      <c r="H255" s="222"/>
      <c r="I255" s="229"/>
      <c r="J255" s="292">
        <f t="shared" si="12"/>
        <v>160.97999999999999</v>
      </c>
    </row>
    <row r="256" spans="1:10" x14ac:dyDescent="0.25">
      <c r="A256" s="450"/>
      <c r="B256" s="449"/>
      <c r="C256" s="449"/>
      <c r="D256" s="449"/>
      <c r="E256" s="449"/>
      <c r="F256" s="449"/>
      <c r="G256" s="449"/>
      <c r="H256" s="449"/>
      <c r="I256" s="449"/>
      <c r="J256" s="451"/>
    </row>
    <row r="257" spans="1:10" ht="38.25" customHeight="1" x14ac:dyDescent="0.25">
      <c r="A257" s="232" t="s">
        <v>147</v>
      </c>
      <c r="B257" s="290" t="s">
        <v>636</v>
      </c>
      <c r="C257" s="219" t="s">
        <v>95</v>
      </c>
      <c r="D257" s="432" t="s">
        <v>637</v>
      </c>
      <c r="E257" s="432"/>
      <c r="F257" s="432"/>
      <c r="G257" s="432"/>
      <c r="H257" s="432"/>
      <c r="I257" s="219" t="s">
        <v>284</v>
      </c>
      <c r="J257" s="233">
        <f>SUM(J260:J265)</f>
        <v>248.57999999999998</v>
      </c>
    </row>
    <row r="258" spans="1:10" s="27" customFormat="1" x14ac:dyDescent="0.25">
      <c r="A258" s="287"/>
      <c r="B258" s="288"/>
      <c r="C258" s="288"/>
      <c r="D258" s="439" t="s">
        <v>598</v>
      </c>
      <c r="E258" s="439"/>
      <c r="F258" s="439"/>
      <c r="G258" s="439"/>
      <c r="H258" s="439"/>
      <c r="I258" s="288"/>
      <c r="J258" s="289"/>
    </row>
    <row r="259" spans="1:10" s="27" customFormat="1" x14ac:dyDescent="0.25">
      <c r="A259" s="287"/>
      <c r="B259" s="288"/>
      <c r="C259" s="288"/>
      <c r="D259" s="439" t="s">
        <v>318</v>
      </c>
      <c r="E259" s="439"/>
      <c r="F259" s="439" t="s">
        <v>635</v>
      </c>
      <c r="G259" s="439"/>
      <c r="H259" s="290"/>
      <c r="I259" s="290"/>
      <c r="J259" s="237" t="s">
        <v>305</v>
      </c>
    </row>
    <row r="260" spans="1:10" s="27" customFormat="1" x14ac:dyDescent="0.25">
      <c r="A260" s="295"/>
      <c r="B260" s="286"/>
      <c r="C260" s="286"/>
      <c r="D260" s="449" t="s">
        <v>343</v>
      </c>
      <c r="E260" s="449"/>
      <c r="F260" s="449">
        <v>30.97</v>
      </c>
      <c r="G260" s="449"/>
      <c r="H260" s="286"/>
      <c r="I260" s="229"/>
      <c r="J260" s="292">
        <f>F260</f>
        <v>30.97</v>
      </c>
    </row>
    <row r="261" spans="1:10" s="27" customFormat="1" x14ac:dyDescent="0.25">
      <c r="A261" s="295"/>
      <c r="B261" s="286"/>
      <c r="C261" s="286"/>
      <c r="D261" s="449" t="s">
        <v>344</v>
      </c>
      <c r="E261" s="449"/>
      <c r="F261" s="449">
        <v>30.97</v>
      </c>
      <c r="G261" s="449"/>
      <c r="H261" s="286"/>
      <c r="I261" s="229"/>
      <c r="J261" s="292">
        <f t="shared" ref="J261:J265" si="13">F261</f>
        <v>30.97</v>
      </c>
    </row>
    <row r="262" spans="1:10" s="27" customFormat="1" x14ac:dyDescent="0.25">
      <c r="A262" s="295"/>
      <c r="B262" s="286"/>
      <c r="C262" s="286"/>
      <c r="D262" s="449" t="s">
        <v>334</v>
      </c>
      <c r="E262" s="449"/>
      <c r="F262" s="449">
        <v>7.35</v>
      </c>
      <c r="G262" s="449"/>
      <c r="H262" s="286"/>
      <c r="I262" s="229"/>
      <c r="J262" s="292">
        <f t="shared" si="13"/>
        <v>7.35</v>
      </c>
    </row>
    <row r="263" spans="1:10" s="27" customFormat="1" x14ac:dyDescent="0.25">
      <c r="A263" s="295"/>
      <c r="B263" s="286"/>
      <c r="C263" s="286"/>
      <c r="D263" s="449" t="s">
        <v>335</v>
      </c>
      <c r="E263" s="449"/>
      <c r="F263" s="449">
        <v>7.35</v>
      </c>
      <c r="G263" s="449"/>
      <c r="H263" s="286"/>
      <c r="I263" s="229"/>
      <c r="J263" s="292">
        <f t="shared" si="13"/>
        <v>7.35</v>
      </c>
    </row>
    <row r="264" spans="1:10" s="27" customFormat="1" x14ac:dyDescent="0.25">
      <c r="A264" s="295"/>
      <c r="B264" s="286"/>
      <c r="C264" s="286"/>
      <c r="D264" s="449" t="s">
        <v>322</v>
      </c>
      <c r="E264" s="449"/>
      <c r="F264" s="449">
        <v>10.96</v>
      </c>
      <c r="G264" s="449"/>
      <c r="H264" s="286"/>
      <c r="I264" s="229"/>
      <c r="J264" s="292">
        <f t="shared" si="13"/>
        <v>10.96</v>
      </c>
    </row>
    <row r="265" spans="1:10" s="27" customFormat="1" x14ac:dyDescent="0.25">
      <c r="A265" s="295"/>
      <c r="B265" s="286"/>
      <c r="C265" s="286"/>
      <c r="D265" s="449" t="s">
        <v>629</v>
      </c>
      <c r="E265" s="449"/>
      <c r="F265" s="449">
        <v>160.97999999999999</v>
      </c>
      <c r="G265" s="449"/>
      <c r="H265" s="286"/>
      <c r="I265" s="229"/>
      <c r="J265" s="292">
        <f t="shared" si="13"/>
        <v>160.97999999999999</v>
      </c>
    </row>
    <row r="266" spans="1:10" s="27" customFormat="1" x14ac:dyDescent="0.25">
      <c r="A266" s="450"/>
      <c r="B266" s="449"/>
      <c r="C266" s="449"/>
      <c r="D266" s="449"/>
      <c r="E266" s="449"/>
      <c r="F266" s="449"/>
      <c r="G266" s="449"/>
      <c r="H266" s="449"/>
      <c r="I266" s="449"/>
      <c r="J266" s="451"/>
    </row>
    <row r="267" spans="1:10" s="27" customFormat="1" ht="38.25" customHeight="1" x14ac:dyDescent="0.25">
      <c r="A267" s="232" t="s">
        <v>148</v>
      </c>
      <c r="B267" s="290">
        <v>68053</v>
      </c>
      <c r="C267" s="290" t="s">
        <v>95</v>
      </c>
      <c r="D267" s="432" t="s">
        <v>645</v>
      </c>
      <c r="E267" s="432"/>
      <c r="F267" s="432"/>
      <c r="G267" s="432"/>
      <c r="H267" s="432"/>
      <c r="I267" s="290" t="s">
        <v>284</v>
      </c>
      <c r="J267" s="233">
        <f>SUM(J270:J275)</f>
        <v>248.57999999999998</v>
      </c>
    </row>
    <row r="268" spans="1:10" s="27" customFormat="1" x14ac:dyDescent="0.25">
      <c r="A268" s="287"/>
      <c r="B268" s="288"/>
      <c r="C268" s="288"/>
      <c r="D268" s="439" t="s">
        <v>598</v>
      </c>
      <c r="E268" s="439"/>
      <c r="F268" s="439"/>
      <c r="G268" s="439"/>
      <c r="H268" s="439"/>
      <c r="I268" s="288"/>
      <c r="J268" s="289"/>
    </row>
    <row r="269" spans="1:10" s="27" customFormat="1" x14ac:dyDescent="0.25">
      <c r="A269" s="287"/>
      <c r="B269" s="288"/>
      <c r="C269" s="288"/>
      <c r="D269" s="439" t="s">
        <v>318</v>
      </c>
      <c r="E269" s="439"/>
      <c r="F269" s="439" t="s">
        <v>635</v>
      </c>
      <c r="G269" s="439"/>
      <c r="H269" s="290"/>
      <c r="I269" s="290"/>
      <c r="J269" s="237" t="s">
        <v>305</v>
      </c>
    </row>
    <row r="270" spans="1:10" s="27" customFormat="1" x14ac:dyDescent="0.25">
      <c r="A270" s="295"/>
      <c r="B270" s="286"/>
      <c r="C270" s="286"/>
      <c r="D270" s="449" t="s">
        <v>343</v>
      </c>
      <c r="E270" s="449"/>
      <c r="F270" s="449">
        <v>30.97</v>
      </c>
      <c r="G270" s="449"/>
      <c r="H270" s="286"/>
      <c r="I270" s="229"/>
      <c r="J270" s="292">
        <f>F270</f>
        <v>30.97</v>
      </c>
    </row>
    <row r="271" spans="1:10" s="27" customFormat="1" x14ac:dyDescent="0.25">
      <c r="A271" s="295"/>
      <c r="B271" s="286"/>
      <c r="C271" s="286"/>
      <c r="D271" s="449" t="s">
        <v>344</v>
      </c>
      <c r="E271" s="449"/>
      <c r="F271" s="449">
        <v>30.97</v>
      </c>
      <c r="G271" s="449"/>
      <c r="H271" s="286"/>
      <c r="I271" s="229"/>
      <c r="J271" s="292">
        <f t="shared" ref="J271:J275" si="14">F271</f>
        <v>30.97</v>
      </c>
    </row>
    <row r="272" spans="1:10" s="27" customFormat="1" x14ac:dyDescent="0.25">
      <c r="A272" s="295"/>
      <c r="B272" s="286"/>
      <c r="C272" s="286"/>
      <c r="D272" s="449" t="s">
        <v>334</v>
      </c>
      <c r="E272" s="449"/>
      <c r="F272" s="449">
        <v>7.35</v>
      </c>
      <c r="G272" s="449"/>
      <c r="H272" s="286"/>
      <c r="I272" s="229"/>
      <c r="J272" s="292">
        <f t="shared" si="14"/>
        <v>7.35</v>
      </c>
    </row>
    <row r="273" spans="1:10" s="27" customFormat="1" x14ac:dyDescent="0.25">
      <c r="A273" s="295"/>
      <c r="B273" s="286"/>
      <c r="C273" s="286"/>
      <c r="D273" s="449" t="s">
        <v>335</v>
      </c>
      <c r="E273" s="449"/>
      <c r="F273" s="449">
        <v>7.35</v>
      </c>
      <c r="G273" s="449"/>
      <c r="H273" s="286"/>
      <c r="I273" s="229"/>
      <c r="J273" s="292">
        <f t="shared" si="14"/>
        <v>7.35</v>
      </c>
    </row>
    <row r="274" spans="1:10" s="27" customFormat="1" x14ac:dyDescent="0.25">
      <c r="A274" s="295"/>
      <c r="B274" s="286"/>
      <c r="C274" s="286"/>
      <c r="D274" s="449" t="s">
        <v>322</v>
      </c>
      <c r="E274" s="449"/>
      <c r="F274" s="449">
        <v>10.96</v>
      </c>
      <c r="G274" s="449"/>
      <c r="H274" s="286"/>
      <c r="I274" s="229"/>
      <c r="J274" s="292">
        <f t="shared" si="14"/>
        <v>10.96</v>
      </c>
    </row>
    <row r="275" spans="1:10" s="27" customFormat="1" x14ac:dyDescent="0.25">
      <c r="A275" s="295"/>
      <c r="B275" s="286"/>
      <c r="C275" s="286"/>
      <c r="D275" s="449" t="s">
        <v>629</v>
      </c>
      <c r="E275" s="449"/>
      <c r="F275" s="449">
        <v>160.97999999999999</v>
      </c>
      <c r="G275" s="449"/>
      <c r="H275" s="286"/>
      <c r="I275" s="229"/>
      <c r="J275" s="292">
        <f t="shared" si="14"/>
        <v>160.97999999999999</v>
      </c>
    </row>
    <row r="276" spans="1:10" s="27" customFormat="1" x14ac:dyDescent="0.25">
      <c r="A276" s="450"/>
      <c r="B276" s="449"/>
      <c r="C276" s="449"/>
      <c r="D276" s="449"/>
      <c r="E276" s="449"/>
      <c r="F276" s="449"/>
      <c r="G276" s="449"/>
      <c r="H276" s="449"/>
      <c r="I276" s="449"/>
      <c r="J276" s="451"/>
    </row>
    <row r="277" spans="1:10" s="27" customFormat="1" ht="54.75" customHeight="1" x14ac:dyDescent="0.25">
      <c r="A277" s="232" t="s">
        <v>149</v>
      </c>
      <c r="B277" s="290" t="s">
        <v>644</v>
      </c>
      <c r="C277" s="290" t="s">
        <v>95</v>
      </c>
      <c r="D277" s="432" t="s">
        <v>643</v>
      </c>
      <c r="E277" s="432"/>
      <c r="F277" s="432"/>
      <c r="G277" s="432"/>
      <c r="H277" s="432"/>
      <c r="I277" s="290" t="s">
        <v>284</v>
      </c>
      <c r="J277" s="233">
        <f>SUM(J280:J281)</f>
        <v>74.5</v>
      </c>
    </row>
    <row r="278" spans="1:10" s="27" customFormat="1" x14ac:dyDescent="0.25">
      <c r="A278" s="287"/>
      <c r="B278" s="288"/>
      <c r="C278" s="288"/>
      <c r="D278" s="439" t="s">
        <v>649</v>
      </c>
      <c r="E278" s="439"/>
      <c r="F278" s="439"/>
      <c r="G278" s="439"/>
      <c r="H278" s="439"/>
      <c r="I278" s="288"/>
      <c r="J278" s="289"/>
    </row>
    <row r="279" spans="1:10" s="27" customFormat="1" x14ac:dyDescent="0.25">
      <c r="A279" s="287"/>
      <c r="B279" s="288"/>
      <c r="C279" s="288"/>
      <c r="D279" s="439" t="s">
        <v>318</v>
      </c>
      <c r="E279" s="439"/>
      <c r="F279" s="439" t="s">
        <v>647</v>
      </c>
      <c r="G279" s="439"/>
      <c r="H279" s="290" t="s">
        <v>609</v>
      </c>
      <c r="I279" s="290" t="s">
        <v>648</v>
      </c>
      <c r="J279" s="237" t="s">
        <v>305</v>
      </c>
    </row>
    <row r="280" spans="1:10" s="27" customFormat="1" x14ac:dyDescent="0.25">
      <c r="A280" s="295"/>
      <c r="B280" s="286"/>
      <c r="C280" s="286"/>
      <c r="D280" s="449" t="s">
        <v>646</v>
      </c>
      <c r="E280" s="449"/>
      <c r="F280" s="449">
        <v>13</v>
      </c>
      <c r="G280" s="449"/>
      <c r="H280" s="286">
        <v>1</v>
      </c>
      <c r="I280" s="229">
        <v>2</v>
      </c>
      <c r="J280" s="292">
        <f>F280*H280*I280</f>
        <v>26</v>
      </c>
    </row>
    <row r="281" spans="1:10" s="27" customFormat="1" x14ac:dyDescent="0.25">
      <c r="A281" s="295"/>
      <c r="B281" s="286"/>
      <c r="C281" s="286"/>
      <c r="D281" s="449" t="s">
        <v>646</v>
      </c>
      <c r="E281" s="449"/>
      <c r="F281" s="449">
        <v>24.25</v>
      </c>
      <c r="G281" s="449"/>
      <c r="H281" s="286">
        <v>1</v>
      </c>
      <c r="I281" s="229">
        <v>2</v>
      </c>
      <c r="J281" s="292">
        <f t="shared" ref="J281" si="15">F281*H281*I281</f>
        <v>48.5</v>
      </c>
    </row>
    <row r="282" spans="1:10" x14ac:dyDescent="0.25">
      <c r="A282" s="424"/>
      <c r="B282" s="425"/>
      <c r="C282" s="425"/>
      <c r="D282" s="425"/>
      <c r="E282" s="425"/>
      <c r="F282" s="425"/>
      <c r="G282" s="425"/>
      <c r="H282" s="425"/>
      <c r="I282" s="425"/>
      <c r="J282" s="426"/>
    </row>
    <row r="283" spans="1:10" x14ac:dyDescent="0.25">
      <c r="A283" s="231" t="s">
        <v>150</v>
      </c>
      <c r="B283" s="430" t="s">
        <v>151</v>
      </c>
      <c r="C283" s="430"/>
      <c r="D283" s="430"/>
      <c r="E283" s="430"/>
      <c r="F283" s="430"/>
      <c r="G283" s="430"/>
      <c r="H283" s="430"/>
      <c r="I283" s="430"/>
      <c r="J283" s="431"/>
    </row>
    <row r="284" spans="1:10" x14ac:dyDescent="0.25">
      <c r="A284" s="424"/>
      <c r="B284" s="425"/>
      <c r="C284" s="425"/>
      <c r="D284" s="425"/>
      <c r="E284" s="425"/>
      <c r="F284" s="425"/>
      <c r="G284" s="425"/>
      <c r="H284" s="425"/>
      <c r="I284" s="425"/>
      <c r="J284" s="426"/>
    </row>
    <row r="285" spans="1:10" ht="26.25" customHeight="1" x14ac:dyDescent="0.25">
      <c r="A285" s="232" t="s">
        <v>152</v>
      </c>
      <c r="B285" s="367">
        <v>89356</v>
      </c>
      <c r="C285" s="219" t="s">
        <v>95</v>
      </c>
      <c r="D285" s="433" t="s">
        <v>663</v>
      </c>
      <c r="E285" s="433"/>
      <c r="F285" s="433"/>
      <c r="G285" s="433"/>
      <c r="H285" s="433"/>
      <c r="I285" s="219" t="s">
        <v>215</v>
      </c>
      <c r="J285" s="233">
        <f>J286</f>
        <v>12</v>
      </c>
    </row>
    <row r="286" spans="1:10" x14ac:dyDescent="0.25">
      <c r="A286" s="234"/>
      <c r="B286" s="221"/>
      <c r="C286" s="221"/>
      <c r="D286" s="425" t="s">
        <v>346</v>
      </c>
      <c r="E286" s="425"/>
      <c r="F286" s="425"/>
      <c r="G286" s="425"/>
      <c r="H286" s="425"/>
      <c r="I286" s="221" t="s">
        <v>215</v>
      </c>
      <c r="J286" s="239">
        <v>12</v>
      </c>
    </row>
    <row r="287" spans="1:10" x14ac:dyDescent="0.25">
      <c r="A287" s="424"/>
      <c r="B287" s="425"/>
      <c r="C287" s="425"/>
      <c r="D287" s="425"/>
      <c r="E287" s="425"/>
      <c r="F287" s="425"/>
      <c r="G287" s="425"/>
      <c r="H287" s="425"/>
      <c r="I287" s="425"/>
      <c r="J287" s="426"/>
    </row>
    <row r="288" spans="1:10" ht="23.25" customHeight="1" x14ac:dyDescent="0.25">
      <c r="A288" s="232" t="s">
        <v>153</v>
      </c>
      <c r="B288" s="367">
        <v>89357</v>
      </c>
      <c r="C288" s="219" t="s">
        <v>95</v>
      </c>
      <c r="D288" s="446" t="s">
        <v>687</v>
      </c>
      <c r="E288" s="447"/>
      <c r="F288" s="447"/>
      <c r="G288" s="447"/>
      <c r="H288" s="448"/>
      <c r="I288" s="219" t="s">
        <v>215</v>
      </c>
      <c r="J288" s="233">
        <f>J289</f>
        <v>30</v>
      </c>
    </row>
    <row r="289" spans="1:10" x14ac:dyDescent="0.25">
      <c r="A289" s="234"/>
      <c r="B289" s="221"/>
      <c r="C289" s="221"/>
      <c r="D289" s="425" t="s">
        <v>346</v>
      </c>
      <c r="E289" s="425"/>
      <c r="F289" s="425"/>
      <c r="G289" s="425"/>
      <c r="H289" s="425"/>
      <c r="I289" s="221" t="s">
        <v>215</v>
      </c>
      <c r="J289" s="239">
        <v>30</v>
      </c>
    </row>
    <row r="290" spans="1:10" x14ac:dyDescent="0.25">
      <c r="A290" s="424"/>
      <c r="B290" s="425"/>
      <c r="C290" s="425"/>
      <c r="D290" s="425"/>
      <c r="E290" s="425"/>
      <c r="F290" s="425"/>
      <c r="G290" s="425"/>
      <c r="H290" s="425"/>
      <c r="I290" s="425"/>
      <c r="J290" s="426"/>
    </row>
    <row r="291" spans="1:10" ht="26.25" customHeight="1" x14ac:dyDescent="0.25">
      <c r="A291" s="232" t="s">
        <v>154</v>
      </c>
      <c r="B291" s="367">
        <v>89448</v>
      </c>
      <c r="C291" s="219" t="s">
        <v>95</v>
      </c>
      <c r="D291" s="433" t="s">
        <v>690</v>
      </c>
      <c r="E291" s="433"/>
      <c r="F291" s="433"/>
      <c r="G291" s="433"/>
      <c r="H291" s="433"/>
      <c r="I291" s="219" t="s">
        <v>215</v>
      </c>
      <c r="J291" s="233">
        <f>J292</f>
        <v>12</v>
      </c>
    </row>
    <row r="292" spans="1:10" x14ac:dyDescent="0.25">
      <c r="A292" s="234"/>
      <c r="B292" s="221"/>
      <c r="C292" s="221"/>
      <c r="D292" s="425" t="s">
        <v>346</v>
      </c>
      <c r="E292" s="425"/>
      <c r="F292" s="425"/>
      <c r="G292" s="425"/>
      <c r="H292" s="425"/>
      <c r="I292" s="221" t="s">
        <v>215</v>
      </c>
      <c r="J292" s="239">
        <v>12</v>
      </c>
    </row>
    <row r="293" spans="1:10" x14ac:dyDescent="0.25">
      <c r="A293" s="424"/>
      <c r="B293" s="425"/>
      <c r="C293" s="425"/>
      <c r="D293" s="425"/>
      <c r="E293" s="425"/>
      <c r="F293" s="425"/>
      <c r="G293" s="425"/>
      <c r="H293" s="425"/>
      <c r="I293" s="425"/>
      <c r="J293" s="426"/>
    </row>
    <row r="294" spans="1:10" ht="34.5" customHeight="1" x14ac:dyDescent="0.25">
      <c r="A294" s="232" t="s">
        <v>155</v>
      </c>
      <c r="B294" s="367">
        <v>89497</v>
      </c>
      <c r="C294" s="219" t="s">
        <v>95</v>
      </c>
      <c r="D294" s="433" t="s">
        <v>692</v>
      </c>
      <c r="E294" s="433"/>
      <c r="F294" s="433"/>
      <c r="G294" s="433"/>
      <c r="H294" s="433"/>
      <c r="I294" s="219" t="str">
        <f>I295</f>
        <v>PÇ</v>
      </c>
      <c r="J294" s="233">
        <f>J295</f>
        <v>1</v>
      </c>
    </row>
    <row r="295" spans="1:10" x14ac:dyDescent="0.25">
      <c r="A295" s="234"/>
      <c r="B295" s="221"/>
      <c r="C295" s="221"/>
      <c r="D295" s="425" t="s">
        <v>346</v>
      </c>
      <c r="E295" s="425"/>
      <c r="F295" s="425"/>
      <c r="G295" s="425"/>
      <c r="H295" s="425"/>
      <c r="I295" s="221" t="s">
        <v>207</v>
      </c>
      <c r="J295" s="239">
        <v>1</v>
      </c>
    </row>
    <row r="296" spans="1:10" x14ac:dyDescent="0.25">
      <c r="A296" s="424"/>
      <c r="B296" s="425"/>
      <c r="C296" s="425"/>
      <c r="D296" s="425"/>
      <c r="E296" s="425"/>
      <c r="F296" s="425"/>
      <c r="G296" s="425"/>
      <c r="H296" s="425"/>
      <c r="I296" s="425"/>
      <c r="J296" s="426"/>
    </row>
    <row r="297" spans="1:10" ht="25.5" customHeight="1" x14ac:dyDescent="0.25">
      <c r="A297" s="232" t="s">
        <v>156</v>
      </c>
      <c r="B297" s="367">
        <v>89481</v>
      </c>
      <c r="C297" s="219" t="s">
        <v>95</v>
      </c>
      <c r="D297" s="440" t="s">
        <v>693</v>
      </c>
      <c r="E297" s="441"/>
      <c r="F297" s="441"/>
      <c r="G297" s="441"/>
      <c r="H297" s="442"/>
      <c r="I297" s="354" t="str">
        <f>I298</f>
        <v>PÇ</v>
      </c>
      <c r="J297" s="233">
        <f>J298</f>
        <v>2</v>
      </c>
    </row>
    <row r="298" spans="1:10" x14ac:dyDescent="0.25">
      <c r="A298" s="234"/>
      <c r="B298" s="221"/>
      <c r="C298" s="221"/>
      <c r="D298" s="443" t="s">
        <v>346</v>
      </c>
      <c r="E298" s="444"/>
      <c r="F298" s="444"/>
      <c r="G298" s="444"/>
      <c r="H298" s="445"/>
      <c r="I298" s="221" t="s">
        <v>207</v>
      </c>
      <c r="J298" s="239">
        <v>2</v>
      </c>
    </row>
    <row r="299" spans="1:10" x14ac:dyDescent="0.25">
      <c r="A299" s="424"/>
      <c r="B299" s="425"/>
      <c r="C299" s="425"/>
      <c r="D299" s="425"/>
      <c r="E299" s="425"/>
      <c r="F299" s="425"/>
      <c r="G299" s="425"/>
      <c r="H299" s="425"/>
      <c r="I299" s="425"/>
      <c r="J299" s="426"/>
    </row>
    <row r="300" spans="1:10" ht="36" customHeight="1" x14ac:dyDescent="0.25">
      <c r="A300" s="232" t="s">
        <v>157</v>
      </c>
      <c r="B300" s="367">
        <v>89366</v>
      </c>
      <c r="C300" s="219" t="s">
        <v>95</v>
      </c>
      <c r="D300" s="433" t="s">
        <v>694</v>
      </c>
      <c r="E300" s="433"/>
      <c r="F300" s="433"/>
      <c r="G300" s="433"/>
      <c r="H300" s="433"/>
      <c r="I300" s="219" t="str">
        <f>I301</f>
        <v>PÇ</v>
      </c>
      <c r="J300" s="233">
        <f>J301</f>
        <v>14</v>
      </c>
    </row>
    <row r="301" spans="1:10" x14ac:dyDescent="0.25">
      <c r="A301" s="234"/>
      <c r="B301" s="221"/>
      <c r="C301" s="221"/>
      <c r="D301" s="425" t="s">
        <v>346</v>
      </c>
      <c r="E301" s="425"/>
      <c r="F301" s="425"/>
      <c r="G301" s="425"/>
      <c r="H301" s="425"/>
      <c r="I301" s="221" t="s">
        <v>207</v>
      </c>
      <c r="J301" s="239">
        <v>14</v>
      </c>
    </row>
    <row r="302" spans="1:10" x14ac:dyDescent="0.25">
      <c r="A302" s="424"/>
      <c r="B302" s="425"/>
      <c r="C302" s="425"/>
      <c r="D302" s="425"/>
      <c r="E302" s="425"/>
      <c r="F302" s="425"/>
      <c r="G302" s="425"/>
      <c r="H302" s="425"/>
      <c r="I302" s="425"/>
      <c r="J302" s="426"/>
    </row>
    <row r="303" spans="1:10" ht="36.75" customHeight="1" x14ac:dyDescent="0.25">
      <c r="A303" s="232" t="s">
        <v>158</v>
      </c>
      <c r="B303" s="367">
        <v>89380</v>
      </c>
      <c r="C303" s="219" t="s">
        <v>95</v>
      </c>
      <c r="D303" s="433" t="s">
        <v>680</v>
      </c>
      <c r="E303" s="433"/>
      <c r="F303" s="433"/>
      <c r="G303" s="433"/>
      <c r="H303" s="433"/>
      <c r="I303" s="219" t="str">
        <f>I304</f>
        <v>PÇ</v>
      </c>
      <c r="J303" s="233">
        <f>J304</f>
        <v>3</v>
      </c>
    </row>
    <row r="304" spans="1:10" x14ac:dyDescent="0.25">
      <c r="A304" s="234"/>
      <c r="B304" s="221"/>
      <c r="C304" s="221"/>
      <c r="D304" s="425" t="s">
        <v>346</v>
      </c>
      <c r="E304" s="425"/>
      <c r="F304" s="425"/>
      <c r="G304" s="425"/>
      <c r="H304" s="425"/>
      <c r="I304" s="221" t="s">
        <v>207</v>
      </c>
      <c r="J304" s="239">
        <v>3</v>
      </c>
    </row>
    <row r="305" spans="1:10" x14ac:dyDescent="0.25">
      <c r="A305" s="424"/>
      <c r="B305" s="425"/>
      <c r="C305" s="425"/>
      <c r="D305" s="425"/>
      <c r="E305" s="425"/>
      <c r="F305" s="425"/>
      <c r="G305" s="425"/>
      <c r="H305" s="425"/>
      <c r="I305" s="425"/>
      <c r="J305" s="426"/>
    </row>
    <row r="306" spans="1:10" ht="24" customHeight="1" x14ac:dyDescent="0.25">
      <c r="A306" s="232" t="s">
        <v>159</v>
      </c>
      <c r="B306" s="367">
        <v>89433</v>
      </c>
      <c r="C306" s="219" t="s">
        <v>95</v>
      </c>
      <c r="D306" s="433" t="s">
        <v>681</v>
      </c>
      <c r="E306" s="433"/>
      <c r="F306" s="433"/>
      <c r="G306" s="433"/>
      <c r="H306" s="433"/>
      <c r="I306" s="219" t="str">
        <f>I307</f>
        <v>PÇ</v>
      </c>
      <c r="J306" s="233">
        <f>J307</f>
        <v>1</v>
      </c>
    </row>
    <row r="307" spans="1:10" x14ac:dyDescent="0.25">
      <c r="A307" s="234"/>
      <c r="B307" s="221"/>
      <c r="C307" s="221"/>
      <c r="D307" s="425" t="s">
        <v>346</v>
      </c>
      <c r="E307" s="425"/>
      <c r="F307" s="425"/>
      <c r="G307" s="425"/>
      <c r="H307" s="425"/>
      <c r="I307" s="221" t="s">
        <v>207</v>
      </c>
      <c r="J307" s="239">
        <v>1</v>
      </c>
    </row>
    <row r="308" spans="1:10" x14ac:dyDescent="0.25">
      <c r="A308" s="424"/>
      <c r="B308" s="425"/>
      <c r="C308" s="425"/>
      <c r="D308" s="425"/>
      <c r="E308" s="425"/>
      <c r="F308" s="425"/>
      <c r="G308" s="425"/>
      <c r="H308" s="425"/>
      <c r="I308" s="425"/>
      <c r="J308" s="426"/>
    </row>
    <row r="309" spans="1:10" ht="24.75" customHeight="1" x14ac:dyDescent="0.25">
      <c r="A309" s="232" t="s">
        <v>160</v>
      </c>
      <c r="B309" s="367">
        <v>89395</v>
      </c>
      <c r="C309" s="219" t="s">
        <v>95</v>
      </c>
      <c r="D309" s="433" t="s">
        <v>695</v>
      </c>
      <c r="E309" s="433"/>
      <c r="F309" s="433"/>
      <c r="G309" s="433"/>
      <c r="H309" s="433"/>
      <c r="I309" s="219" t="str">
        <f>I310</f>
        <v>PÇ</v>
      </c>
      <c r="J309" s="233">
        <f>J310</f>
        <v>2</v>
      </c>
    </row>
    <row r="310" spans="1:10" x14ac:dyDescent="0.25">
      <c r="A310" s="234"/>
      <c r="B310" s="221"/>
      <c r="C310" s="221"/>
      <c r="D310" s="425" t="s">
        <v>346</v>
      </c>
      <c r="E310" s="425"/>
      <c r="F310" s="425"/>
      <c r="G310" s="425"/>
      <c r="H310" s="425"/>
      <c r="I310" s="221" t="s">
        <v>207</v>
      </c>
      <c r="J310" s="239">
        <v>2</v>
      </c>
    </row>
    <row r="311" spans="1:10" x14ac:dyDescent="0.25">
      <c r="A311" s="424"/>
      <c r="B311" s="425"/>
      <c r="C311" s="425"/>
      <c r="D311" s="425"/>
      <c r="E311" s="425"/>
      <c r="F311" s="425"/>
      <c r="G311" s="425"/>
      <c r="H311" s="425"/>
      <c r="I311" s="425"/>
      <c r="J311" s="426"/>
    </row>
    <row r="312" spans="1:10" ht="24.75" customHeight="1" x14ac:dyDescent="0.25">
      <c r="A312" s="232" t="s">
        <v>161</v>
      </c>
      <c r="B312" s="219">
        <v>65</v>
      </c>
      <c r="C312" s="219" t="s">
        <v>95</v>
      </c>
      <c r="D312" s="433" t="s">
        <v>517</v>
      </c>
      <c r="E312" s="433"/>
      <c r="F312" s="433"/>
      <c r="G312" s="433"/>
      <c r="H312" s="433"/>
      <c r="I312" s="219" t="str">
        <f>I313</f>
        <v>PÇ</v>
      </c>
      <c r="J312" s="233">
        <f>J313</f>
        <v>8</v>
      </c>
    </row>
    <row r="313" spans="1:10" x14ac:dyDescent="0.25">
      <c r="A313" s="234"/>
      <c r="B313" s="221"/>
      <c r="C313" s="221"/>
      <c r="D313" s="425" t="s">
        <v>346</v>
      </c>
      <c r="E313" s="425"/>
      <c r="F313" s="425"/>
      <c r="G313" s="425"/>
      <c r="H313" s="425"/>
      <c r="I313" s="221" t="s">
        <v>207</v>
      </c>
      <c r="J313" s="239">
        <v>8</v>
      </c>
    </row>
    <row r="314" spans="1:10" x14ac:dyDescent="0.25">
      <c r="A314" s="424"/>
      <c r="B314" s="425"/>
      <c r="C314" s="425"/>
      <c r="D314" s="425"/>
      <c r="E314" s="425"/>
      <c r="F314" s="425"/>
      <c r="G314" s="425"/>
      <c r="H314" s="425"/>
      <c r="I314" s="425"/>
      <c r="J314" s="426"/>
    </row>
    <row r="315" spans="1:10" ht="23.25" customHeight="1" x14ac:dyDescent="0.25">
      <c r="A315" s="232" t="s">
        <v>162</v>
      </c>
      <c r="B315" s="219">
        <v>6005</v>
      </c>
      <c r="C315" s="219" t="s">
        <v>95</v>
      </c>
      <c r="D315" s="433" t="s">
        <v>518</v>
      </c>
      <c r="E315" s="433"/>
      <c r="F315" s="433"/>
      <c r="G315" s="433"/>
      <c r="H315" s="433"/>
      <c r="I315" s="219" t="str">
        <f>I316</f>
        <v>PÇ</v>
      </c>
      <c r="J315" s="233">
        <f>J316</f>
        <v>5</v>
      </c>
    </row>
    <row r="316" spans="1:10" x14ac:dyDescent="0.25">
      <c r="A316" s="234"/>
      <c r="B316" s="221"/>
      <c r="C316" s="221"/>
      <c r="D316" s="425" t="s">
        <v>346</v>
      </c>
      <c r="E316" s="425"/>
      <c r="F316" s="425"/>
      <c r="G316" s="425"/>
      <c r="H316" s="425"/>
      <c r="I316" s="221" t="s">
        <v>207</v>
      </c>
      <c r="J316" s="239">
        <v>5</v>
      </c>
    </row>
    <row r="317" spans="1:10" x14ac:dyDescent="0.25">
      <c r="A317" s="424"/>
      <c r="B317" s="425"/>
      <c r="C317" s="425"/>
      <c r="D317" s="425"/>
      <c r="E317" s="425"/>
      <c r="F317" s="425"/>
      <c r="G317" s="425"/>
      <c r="H317" s="425"/>
      <c r="I317" s="425"/>
      <c r="J317" s="426"/>
    </row>
    <row r="318" spans="1:10" ht="28.5" customHeight="1" x14ac:dyDescent="0.25">
      <c r="A318" s="232" t="s">
        <v>163</v>
      </c>
      <c r="B318" s="219">
        <v>37105</v>
      </c>
      <c r="C318" s="219" t="s">
        <v>95</v>
      </c>
      <c r="D318" s="433" t="s">
        <v>519</v>
      </c>
      <c r="E318" s="433"/>
      <c r="F318" s="433"/>
      <c r="G318" s="433"/>
      <c r="H318" s="433"/>
      <c r="I318" s="219" t="str">
        <f>I319</f>
        <v>PÇ</v>
      </c>
      <c r="J318" s="233">
        <f>J319</f>
        <v>1</v>
      </c>
    </row>
    <row r="319" spans="1:10" x14ac:dyDescent="0.25">
      <c r="A319" s="234"/>
      <c r="B319" s="221"/>
      <c r="C319" s="221"/>
      <c r="D319" s="425" t="s">
        <v>346</v>
      </c>
      <c r="E319" s="425"/>
      <c r="F319" s="425"/>
      <c r="G319" s="425"/>
      <c r="H319" s="425"/>
      <c r="I319" s="221" t="s">
        <v>207</v>
      </c>
      <c r="J319" s="239">
        <v>1</v>
      </c>
    </row>
    <row r="320" spans="1:10" x14ac:dyDescent="0.25">
      <c r="A320" s="424"/>
      <c r="B320" s="425"/>
      <c r="C320" s="425"/>
      <c r="D320" s="425"/>
      <c r="E320" s="425"/>
      <c r="F320" s="425"/>
      <c r="G320" s="425"/>
      <c r="H320" s="425"/>
      <c r="I320" s="425"/>
      <c r="J320" s="426"/>
    </row>
    <row r="321" spans="1:10" ht="24" customHeight="1" x14ac:dyDescent="0.25">
      <c r="A321" s="232" t="s">
        <v>164</v>
      </c>
      <c r="B321" s="219">
        <v>11824</v>
      </c>
      <c r="C321" s="219" t="s">
        <v>95</v>
      </c>
      <c r="D321" s="433" t="s">
        <v>520</v>
      </c>
      <c r="E321" s="433"/>
      <c r="F321" s="433"/>
      <c r="G321" s="433"/>
      <c r="H321" s="433"/>
      <c r="I321" s="219" t="str">
        <f>I322</f>
        <v>PÇ</v>
      </c>
      <c r="J321" s="233">
        <f>J322</f>
        <v>1</v>
      </c>
    </row>
    <row r="322" spans="1:10" x14ac:dyDescent="0.25">
      <c r="A322" s="234"/>
      <c r="B322" s="221"/>
      <c r="C322" s="221"/>
      <c r="D322" s="425" t="s">
        <v>346</v>
      </c>
      <c r="E322" s="425"/>
      <c r="F322" s="425"/>
      <c r="G322" s="425"/>
      <c r="H322" s="425"/>
      <c r="I322" s="221" t="s">
        <v>207</v>
      </c>
      <c r="J322" s="239">
        <v>1</v>
      </c>
    </row>
    <row r="323" spans="1:10" x14ac:dyDescent="0.25">
      <c r="A323" s="424"/>
      <c r="B323" s="425"/>
      <c r="C323" s="425"/>
      <c r="D323" s="425"/>
      <c r="E323" s="425"/>
      <c r="F323" s="425"/>
      <c r="G323" s="425"/>
      <c r="H323" s="425"/>
      <c r="I323" s="425"/>
      <c r="J323" s="426"/>
    </row>
    <row r="324" spans="1:10" ht="28.5" customHeight="1" x14ac:dyDescent="0.25">
      <c r="A324" s="232" t="s">
        <v>165</v>
      </c>
      <c r="B324" s="219">
        <v>72787</v>
      </c>
      <c r="C324" s="219" t="s">
        <v>95</v>
      </c>
      <c r="D324" s="433" t="s">
        <v>521</v>
      </c>
      <c r="E324" s="433"/>
      <c r="F324" s="433"/>
      <c r="G324" s="433"/>
      <c r="H324" s="433"/>
      <c r="I324" s="219" t="str">
        <f>I325</f>
        <v>PÇ</v>
      </c>
      <c r="J324" s="233">
        <f>J325</f>
        <v>1</v>
      </c>
    </row>
    <row r="325" spans="1:10" x14ac:dyDescent="0.25">
      <c r="A325" s="234"/>
      <c r="B325" s="221"/>
      <c r="C325" s="221"/>
      <c r="D325" s="425" t="s">
        <v>346</v>
      </c>
      <c r="E325" s="425"/>
      <c r="F325" s="425"/>
      <c r="G325" s="425"/>
      <c r="H325" s="425"/>
      <c r="I325" s="221" t="s">
        <v>207</v>
      </c>
      <c r="J325" s="239">
        <v>1</v>
      </c>
    </row>
    <row r="326" spans="1:10" x14ac:dyDescent="0.25">
      <c r="A326" s="424"/>
      <c r="B326" s="425"/>
      <c r="C326" s="425"/>
      <c r="D326" s="425"/>
      <c r="E326" s="425"/>
      <c r="F326" s="425"/>
      <c r="G326" s="425"/>
      <c r="H326" s="425"/>
      <c r="I326" s="425"/>
      <c r="J326" s="426"/>
    </row>
    <row r="327" spans="1:10" ht="25.5" customHeight="1" x14ac:dyDescent="0.25">
      <c r="A327" s="232" t="s">
        <v>166</v>
      </c>
      <c r="B327" s="219">
        <v>72785</v>
      </c>
      <c r="C327" s="219" t="s">
        <v>95</v>
      </c>
      <c r="D327" s="433" t="s">
        <v>522</v>
      </c>
      <c r="E327" s="433"/>
      <c r="F327" s="433"/>
      <c r="G327" s="433"/>
      <c r="H327" s="433"/>
      <c r="I327" s="219" t="str">
        <f>I328</f>
        <v>PÇ</v>
      </c>
      <c r="J327" s="233">
        <f>J328</f>
        <v>2</v>
      </c>
    </row>
    <row r="328" spans="1:10" x14ac:dyDescent="0.25">
      <c r="A328" s="234"/>
      <c r="B328" s="221"/>
      <c r="C328" s="221"/>
      <c r="D328" s="425" t="s">
        <v>346</v>
      </c>
      <c r="E328" s="425"/>
      <c r="F328" s="425"/>
      <c r="G328" s="425"/>
      <c r="H328" s="425"/>
      <c r="I328" s="221" t="s">
        <v>207</v>
      </c>
      <c r="J328" s="239">
        <v>2</v>
      </c>
    </row>
    <row r="329" spans="1:10" x14ac:dyDescent="0.25">
      <c r="A329" s="424"/>
      <c r="B329" s="425"/>
      <c r="C329" s="425"/>
      <c r="D329" s="425"/>
      <c r="E329" s="425"/>
      <c r="F329" s="425"/>
      <c r="G329" s="425"/>
      <c r="H329" s="425"/>
      <c r="I329" s="425"/>
      <c r="J329" s="426"/>
    </row>
    <row r="330" spans="1:10" ht="26.25" customHeight="1" x14ac:dyDescent="0.25">
      <c r="A330" s="232" t="s">
        <v>167</v>
      </c>
      <c r="B330" s="219">
        <v>73</v>
      </c>
      <c r="C330" s="219" t="s">
        <v>95</v>
      </c>
      <c r="D330" s="433" t="s">
        <v>523</v>
      </c>
      <c r="E330" s="433"/>
      <c r="F330" s="433"/>
      <c r="G330" s="433"/>
      <c r="H330" s="433"/>
      <c r="I330" s="219" t="str">
        <f>I331</f>
        <v>PÇ</v>
      </c>
      <c r="J330" s="233">
        <f>J331</f>
        <v>1</v>
      </c>
    </row>
    <row r="331" spans="1:10" x14ac:dyDescent="0.25">
      <c r="A331" s="234"/>
      <c r="B331" s="221"/>
      <c r="C331" s="221"/>
      <c r="D331" s="425" t="s">
        <v>346</v>
      </c>
      <c r="E331" s="425"/>
      <c r="F331" s="425"/>
      <c r="G331" s="425"/>
      <c r="H331" s="425"/>
      <c r="I331" s="221" t="s">
        <v>207</v>
      </c>
      <c r="J331" s="239">
        <v>1</v>
      </c>
    </row>
    <row r="332" spans="1:10" x14ac:dyDescent="0.25">
      <c r="A332" s="424"/>
      <c r="B332" s="425"/>
      <c r="C332" s="425"/>
      <c r="D332" s="425"/>
      <c r="E332" s="425"/>
      <c r="F332" s="425"/>
      <c r="G332" s="425"/>
      <c r="H332" s="425"/>
      <c r="I332" s="425"/>
      <c r="J332" s="426"/>
    </row>
    <row r="333" spans="1:10" ht="25.5" customHeight="1" x14ac:dyDescent="0.25">
      <c r="A333" s="232" t="s">
        <v>168</v>
      </c>
      <c r="B333" s="367">
        <v>89413</v>
      </c>
      <c r="C333" s="219" t="s">
        <v>95</v>
      </c>
      <c r="D333" s="433" t="s">
        <v>696</v>
      </c>
      <c r="E333" s="433"/>
      <c r="F333" s="433"/>
      <c r="G333" s="433"/>
      <c r="H333" s="433"/>
      <c r="I333" s="219" t="str">
        <f>I334</f>
        <v>PÇ</v>
      </c>
      <c r="J333" s="233">
        <f>J334</f>
        <v>1</v>
      </c>
    </row>
    <row r="334" spans="1:10" x14ac:dyDescent="0.25">
      <c r="A334" s="234"/>
      <c r="B334" s="221"/>
      <c r="C334" s="221"/>
      <c r="D334" s="425" t="s">
        <v>346</v>
      </c>
      <c r="E334" s="425"/>
      <c r="F334" s="425"/>
      <c r="G334" s="425"/>
      <c r="H334" s="425"/>
      <c r="I334" s="221" t="s">
        <v>207</v>
      </c>
      <c r="J334" s="239">
        <v>1</v>
      </c>
    </row>
    <row r="335" spans="1:10" x14ac:dyDescent="0.25">
      <c r="A335" s="424"/>
      <c r="B335" s="425"/>
      <c r="C335" s="425"/>
      <c r="D335" s="425"/>
      <c r="E335" s="425"/>
      <c r="F335" s="425"/>
      <c r="G335" s="425"/>
      <c r="H335" s="425"/>
      <c r="I335" s="425"/>
      <c r="J335" s="426"/>
    </row>
    <row r="336" spans="1:10" ht="24" customHeight="1" x14ac:dyDescent="0.25">
      <c r="A336" s="232" t="s">
        <v>169</v>
      </c>
      <c r="B336" s="219">
        <v>1194</v>
      </c>
      <c r="C336" s="219" t="s">
        <v>95</v>
      </c>
      <c r="D336" s="433" t="s">
        <v>524</v>
      </c>
      <c r="E336" s="433"/>
      <c r="F336" s="433"/>
      <c r="G336" s="433"/>
      <c r="H336" s="433"/>
      <c r="I336" s="219" t="str">
        <f>I337</f>
        <v>PÇ</v>
      </c>
      <c r="J336" s="233">
        <f>J337</f>
        <v>2</v>
      </c>
    </row>
    <row r="337" spans="1:10" x14ac:dyDescent="0.25">
      <c r="A337" s="234"/>
      <c r="B337" s="221"/>
      <c r="C337" s="221"/>
      <c r="D337" s="425" t="s">
        <v>346</v>
      </c>
      <c r="E337" s="425"/>
      <c r="F337" s="425"/>
      <c r="G337" s="425"/>
      <c r="H337" s="425"/>
      <c r="I337" s="221" t="s">
        <v>207</v>
      </c>
      <c r="J337" s="239">
        <v>2</v>
      </c>
    </row>
    <row r="338" spans="1:10" x14ac:dyDescent="0.25">
      <c r="A338" s="424"/>
      <c r="B338" s="425"/>
      <c r="C338" s="425"/>
      <c r="D338" s="425"/>
      <c r="E338" s="425"/>
      <c r="F338" s="425"/>
      <c r="G338" s="425"/>
      <c r="H338" s="425"/>
      <c r="I338" s="425"/>
      <c r="J338" s="426"/>
    </row>
    <row r="339" spans="1:10" ht="26.25" customHeight="1" x14ac:dyDescent="0.25">
      <c r="A339" s="232" t="s">
        <v>170</v>
      </c>
      <c r="B339" s="219">
        <v>7140</v>
      </c>
      <c r="C339" s="219" t="s">
        <v>95</v>
      </c>
      <c r="D339" s="433" t="s">
        <v>525</v>
      </c>
      <c r="E339" s="433"/>
      <c r="F339" s="433"/>
      <c r="G339" s="433"/>
      <c r="H339" s="433"/>
      <c r="I339" s="219" t="str">
        <f>I340</f>
        <v>PÇ</v>
      </c>
      <c r="J339" s="233">
        <f>J340</f>
        <v>1</v>
      </c>
    </row>
    <row r="340" spans="1:10" x14ac:dyDescent="0.25">
      <c r="A340" s="234"/>
      <c r="B340" s="221"/>
      <c r="C340" s="221"/>
      <c r="D340" s="425" t="s">
        <v>346</v>
      </c>
      <c r="E340" s="425"/>
      <c r="F340" s="425"/>
      <c r="G340" s="425"/>
      <c r="H340" s="425"/>
      <c r="I340" s="221" t="s">
        <v>207</v>
      </c>
      <c r="J340" s="239">
        <v>1</v>
      </c>
    </row>
    <row r="341" spans="1:10" x14ac:dyDescent="0.25">
      <c r="A341" s="424"/>
      <c r="B341" s="425"/>
      <c r="C341" s="425"/>
      <c r="D341" s="425"/>
      <c r="E341" s="425"/>
      <c r="F341" s="425"/>
      <c r="G341" s="425"/>
      <c r="H341" s="425"/>
      <c r="I341" s="425"/>
      <c r="J341" s="426"/>
    </row>
    <row r="342" spans="1:10" ht="23.25" customHeight="1" x14ac:dyDescent="0.25">
      <c r="A342" s="232" t="s">
        <v>171</v>
      </c>
      <c r="B342" s="219">
        <v>6015</v>
      </c>
      <c r="C342" s="219" t="s">
        <v>95</v>
      </c>
      <c r="D342" s="433" t="s">
        <v>526</v>
      </c>
      <c r="E342" s="433"/>
      <c r="F342" s="433"/>
      <c r="G342" s="433"/>
      <c r="H342" s="433"/>
      <c r="I342" s="219" t="str">
        <f>I343</f>
        <v>PÇ</v>
      </c>
      <c r="J342" s="233">
        <f>J343</f>
        <v>2</v>
      </c>
    </row>
    <row r="343" spans="1:10" x14ac:dyDescent="0.25">
      <c r="A343" s="234"/>
      <c r="B343" s="221"/>
      <c r="C343" s="221"/>
      <c r="D343" s="425" t="s">
        <v>346</v>
      </c>
      <c r="E343" s="425"/>
      <c r="F343" s="425"/>
      <c r="G343" s="425"/>
      <c r="H343" s="425"/>
      <c r="I343" s="221" t="s">
        <v>207</v>
      </c>
      <c r="J343" s="239">
        <v>2</v>
      </c>
    </row>
    <row r="344" spans="1:10" x14ac:dyDescent="0.25">
      <c r="A344" s="424"/>
      <c r="B344" s="425"/>
      <c r="C344" s="425"/>
      <c r="D344" s="425"/>
      <c r="E344" s="425"/>
      <c r="F344" s="425"/>
      <c r="G344" s="425"/>
      <c r="H344" s="425"/>
      <c r="I344" s="425"/>
      <c r="J344" s="426"/>
    </row>
    <row r="345" spans="1:10" ht="22.5" customHeight="1" x14ac:dyDescent="0.25">
      <c r="A345" s="232" t="s">
        <v>172</v>
      </c>
      <c r="B345" s="367">
        <v>89408</v>
      </c>
      <c r="C345" s="219" t="s">
        <v>95</v>
      </c>
      <c r="D345" s="433" t="s">
        <v>697</v>
      </c>
      <c r="E345" s="433"/>
      <c r="F345" s="433"/>
      <c r="G345" s="433"/>
      <c r="H345" s="433"/>
      <c r="I345" s="219" t="str">
        <f>I346</f>
        <v>PÇ</v>
      </c>
      <c r="J345" s="233">
        <f>J346</f>
        <v>3</v>
      </c>
    </row>
    <row r="346" spans="1:10" x14ac:dyDescent="0.25">
      <c r="A346" s="234"/>
      <c r="B346" s="221"/>
      <c r="C346" s="221"/>
      <c r="D346" s="425" t="s">
        <v>346</v>
      </c>
      <c r="E346" s="425"/>
      <c r="F346" s="425"/>
      <c r="G346" s="425"/>
      <c r="H346" s="425"/>
      <c r="I346" s="221" t="s">
        <v>207</v>
      </c>
      <c r="J346" s="239">
        <v>3</v>
      </c>
    </row>
    <row r="347" spans="1:10" x14ac:dyDescent="0.25">
      <c r="A347" s="424"/>
      <c r="B347" s="425"/>
      <c r="C347" s="425"/>
      <c r="D347" s="425"/>
      <c r="E347" s="425"/>
      <c r="F347" s="425"/>
      <c r="G347" s="425"/>
      <c r="H347" s="425"/>
      <c r="I347" s="425"/>
      <c r="J347" s="426"/>
    </row>
    <row r="348" spans="1:10" ht="27.75" customHeight="1" x14ac:dyDescent="0.25">
      <c r="A348" s="232" t="s">
        <v>173</v>
      </c>
      <c r="B348" s="219">
        <v>112</v>
      </c>
      <c r="C348" s="219" t="s">
        <v>95</v>
      </c>
      <c r="D348" s="433" t="s">
        <v>527</v>
      </c>
      <c r="E348" s="433"/>
      <c r="F348" s="433"/>
      <c r="G348" s="433"/>
      <c r="H348" s="433"/>
      <c r="I348" s="219" t="str">
        <f>I349</f>
        <v>PÇ</v>
      </c>
      <c r="J348" s="233">
        <f>J349</f>
        <v>2</v>
      </c>
    </row>
    <row r="349" spans="1:10" x14ac:dyDescent="0.25">
      <c r="A349" s="234"/>
      <c r="B349" s="221"/>
      <c r="C349" s="221"/>
      <c r="D349" s="425" t="s">
        <v>346</v>
      </c>
      <c r="E349" s="425"/>
      <c r="F349" s="425"/>
      <c r="G349" s="425"/>
      <c r="H349" s="425"/>
      <c r="I349" s="221" t="s">
        <v>207</v>
      </c>
      <c r="J349" s="239">
        <v>2</v>
      </c>
    </row>
    <row r="350" spans="1:10" x14ac:dyDescent="0.25">
      <c r="A350" s="424"/>
      <c r="B350" s="425"/>
      <c r="C350" s="425"/>
      <c r="D350" s="425"/>
      <c r="E350" s="425"/>
      <c r="F350" s="425"/>
      <c r="G350" s="425"/>
      <c r="H350" s="425"/>
      <c r="I350" s="425"/>
      <c r="J350" s="426"/>
    </row>
    <row r="351" spans="1:10" ht="26.25" customHeight="1" x14ac:dyDescent="0.25">
      <c r="A351" s="232" t="s">
        <v>174</v>
      </c>
      <c r="B351" s="367">
        <v>89627</v>
      </c>
      <c r="C351" s="219" t="s">
        <v>95</v>
      </c>
      <c r="D351" s="433" t="s">
        <v>698</v>
      </c>
      <c r="E351" s="433"/>
      <c r="F351" s="433"/>
      <c r="G351" s="433"/>
      <c r="H351" s="433"/>
      <c r="I351" s="219" t="str">
        <f>I352</f>
        <v>PÇ</v>
      </c>
      <c r="J351" s="233">
        <f>J352</f>
        <v>1</v>
      </c>
    </row>
    <row r="352" spans="1:10" x14ac:dyDescent="0.25">
      <c r="A352" s="234"/>
      <c r="B352" s="221"/>
      <c r="C352" s="221"/>
      <c r="D352" s="425" t="s">
        <v>346</v>
      </c>
      <c r="E352" s="425"/>
      <c r="F352" s="425"/>
      <c r="G352" s="425"/>
      <c r="H352" s="425"/>
      <c r="I352" s="221" t="s">
        <v>207</v>
      </c>
      <c r="J352" s="239">
        <v>1</v>
      </c>
    </row>
    <row r="353" spans="1:10" x14ac:dyDescent="0.25">
      <c r="A353" s="424"/>
      <c r="B353" s="425"/>
      <c r="C353" s="425"/>
      <c r="D353" s="425"/>
      <c r="E353" s="425"/>
      <c r="F353" s="425"/>
      <c r="G353" s="425"/>
      <c r="H353" s="425"/>
      <c r="I353" s="425"/>
      <c r="J353" s="426"/>
    </row>
    <row r="354" spans="1:10" ht="24" customHeight="1" x14ac:dyDescent="0.25">
      <c r="A354" s="232" t="s">
        <v>175</v>
      </c>
      <c r="B354" s="367">
        <v>89624</v>
      </c>
      <c r="C354" s="219" t="s">
        <v>95</v>
      </c>
      <c r="D354" s="433" t="s">
        <v>682</v>
      </c>
      <c r="E354" s="433"/>
      <c r="F354" s="433"/>
      <c r="G354" s="433"/>
      <c r="H354" s="433"/>
      <c r="I354" s="219" t="str">
        <f>I355</f>
        <v>PÇ</v>
      </c>
      <c r="J354" s="233">
        <f>J355</f>
        <v>3</v>
      </c>
    </row>
    <row r="355" spans="1:10" x14ac:dyDescent="0.25">
      <c r="A355" s="234"/>
      <c r="B355" s="221"/>
      <c r="C355" s="221"/>
      <c r="D355" s="425" t="s">
        <v>346</v>
      </c>
      <c r="E355" s="425"/>
      <c r="F355" s="425"/>
      <c r="G355" s="425"/>
      <c r="H355" s="425"/>
      <c r="I355" s="221" t="s">
        <v>207</v>
      </c>
      <c r="J355" s="239">
        <v>3</v>
      </c>
    </row>
    <row r="356" spans="1:10" x14ac:dyDescent="0.25">
      <c r="A356" s="424"/>
      <c r="B356" s="425"/>
      <c r="C356" s="425"/>
      <c r="D356" s="425"/>
      <c r="E356" s="425"/>
      <c r="F356" s="425"/>
      <c r="G356" s="425"/>
      <c r="H356" s="425"/>
      <c r="I356" s="425"/>
      <c r="J356" s="426"/>
    </row>
    <row r="357" spans="1:10" ht="22.5" customHeight="1" x14ac:dyDescent="0.25">
      <c r="A357" s="232" t="s">
        <v>176</v>
      </c>
      <c r="B357" s="367">
        <v>89626</v>
      </c>
      <c r="C357" s="219" t="s">
        <v>95</v>
      </c>
      <c r="D357" s="433" t="s">
        <v>699</v>
      </c>
      <c r="E357" s="433"/>
      <c r="F357" s="433"/>
      <c r="G357" s="433"/>
      <c r="H357" s="433"/>
      <c r="I357" s="219" t="str">
        <f>I358</f>
        <v>PÇ</v>
      </c>
      <c r="J357" s="233">
        <f>J358</f>
        <v>1</v>
      </c>
    </row>
    <row r="358" spans="1:10" x14ac:dyDescent="0.25">
      <c r="A358" s="234"/>
      <c r="B358" s="221"/>
      <c r="C358" s="221"/>
      <c r="D358" s="425" t="s">
        <v>346</v>
      </c>
      <c r="E358" s="425"/>
      <c r="F358" s="425"/>
      <c r="G358" s="425"/>
      <c r="H358" s="425"/>
      <c r="I358" s="221" t="s">
        <v>207</v>
      </c>
      <c r="J358" s="239">
        <v>1</v>
      </c>
    </row>
    <row r="359" spans="1:10" x14ac:dyDescent="0.25">
      <c r="A359" s="424"/>
      <c r="B359" s="425"/>
      <c r="C359" s="425"/>
      <c r="D359" s="425"/>
      <c r="E359" s="425"/>
      <c r="F359" s="425"/>
      <c r="G359" s="425"/>
      <c r="H359" s="425"/>
      <c r="I359" s="425"/>
      <c r="J359" s="426"/>
    </row>
    <row r="360" spans="1:10" ht="24.75" customHeight="1" x14ac:dyDescent="0.25">
      <c r="A360" s="232" t="s">
        <v>177</v>
      </c>
      <c r="B360" s="367">
        <v>89449</v>
      </c>
      <c r="C360" s="219" t="s">
        <v>95</v>
      </c>
      <c r="D360" s="433" t="s">
        <v>700</v>
      </c>
      <c r="E360" s="433"/>
      <c r="F360" s="433"/>
      <c r="G360" s="433"/>
      <c r="H360" s="433"/>
      <c r="I360" s="219" t="s">
        <v>215</v>
      </c>
      <c r="J360" s="233">
        <f>J361</f>
        <v>6</v>
      </c>
    </row>
    <row r="361" spans="1:10" x14ac:dyDescent="0.25">
      <c r="A361" s="234"/>
      <c r="B361" s="221"/>
      <c r="C361" s="221"/>
      <c r="D361" s="425" t="s">
        <v>346</v>
      </c>
      <c r="E361" s="425"/>
      <c r="F361" s="425"/>
      <c r="G361" s="425"/>
      <c r="H361" s="425"/>
      <c r="I361" s="221" t="s">
        <v>215</v>
      </c>
      <c r="J361" s="239">
        <v>6</v>
      </c>
    </row>
    <row r="362" spans="1:10" x14ac:dyDescent="0.25">
      <c r="A362" s="424"/>
      <c r="B362" s="425"/>
      <c r="C362" s="425"/>
      <c r="D362" s="425"/>
      <c r="E362" s="425"/>
      <c r="F362" s="425"/>
      <c r="G362" s="425"/>
      <c r="H362" s="425"/>
      <c r="I362" s="425"/>
      <c r="J362" s="426"/>
    </row>
    <row r="363" spans="1:10" ht="22.5" customHeight="1" x14ac:dyDescent="0.25">
      <c r="A363" s="232" t="s">
        <v>178</v>
      </c>
      <c r="B363" s="219">
        <v>20086</v>
      </c>
      <c r="C363" s="219" t="s">
        <v>95</v>
      </c>
      <c r="D363" s="433" t="s">
        <v>528</v>
      </c>
      <c r="E363" s="433"/>
      <c r="F363" s="433"/>
      <c r="G363" s="433"/>
      <c r="H363" s="433"/>
      <c r="I363" s="219" t="str">
        <f>I364</f>
        <v>PÇ</v>
      </c>
      <c r="J363" s="233">
        <f>J364</f>
        <v>6</v>
      </c>
    </row>
    <row r="364" spans="1:10" x14ac:dyDescent="0.25">
      <c r="A364" s="234"/>
      <c r="B364" s="221"/>
      <c r="C364" s="221"/>
      <c r="D364" s="425" t="s">
        <v>346</v>
      </c>
      <c r="E364" s="425"/>
      <c r="F364" s="425"/>
      <c r="G364" s="425"/>
      <c r="H364" s="425"/>
      <c r="I364" s="221" t="s">
        <v>207</v>
      </c>
      <c r="J364" s="239">
        <v>6</v>
      </c>
    </row>
    <row r="365" spans="1:10" x14ac:dyDescent="0.25">
      <c r="A365" s="424"/>
      <c r="B365" s="425"/>
      <c r="C365" s="425"/>
      <c r="D365" s="425"/>
      <c r="E365" s="425"/>
      <c r="F365" s="425"/>
      <c r="G365" s="425"/>
      <c r="H365" s="425"/>
      <c r="I365" s="425"/>
      <c r="J365" s="426"/>
    </row>
    <row r="366" spans="1:10" ht="51.75" customHeight="1" x14ac:dyDescent="0.25">
      <c r="A366" s="232" t="s">
        <v>179</v>
      </c>
      <c r="B366" s="219" t="s">
        <v>347</v>
      </c>
      <c r="C366" s="219" t="s">
        <v>95</v>
      </c>
      <c r="D366" s="433" t="s">
        <v>529</v>
      </c>
      <c r="E366" s="433"/>
      <c r="F366" s="433"/>
      <c r="G366" s="433"/>
      <c r="H366" s="433"/>
      <c r="I366" s="219" t="str">
        <f>I367</f>
        <v>PÇ</v>
      </c>
      <c r="J366" s="233">
        <f>J367</f>
        <v>1</v>
      </c>
    </row>
    <row r="367" spans="1:10" x14ac:dyDescent="0.25">
      <c r="A367" s="234"/>
      <c r="B367" s="221"/>
      <c r="C367" s="221"/>
      <c r="D367" s="425" t="s">
        <v>346</v>
      </c>
      <c r="E367" s="425"/>
      <c r="F367" s="425"/>
      <c r="G367" s="425"/>
      <c r="H367" s="425"/>
      <c r="I367" s="221" t="s">
        <v>207</v>
      </c>
      <c r="J367" s="239">
        <v>1</v>
      </c>
    </row>
    <row r="368" spans="1:10" x14ac:dyDescent="0.25">
      <c r="A368" s="424"/>
      <c r="B368" s="425"/>
      <c r="C368" s="425"/>
      <c r="D368" s="425"/>
      <c r="E368" s="425"/>
      <c r="F368" s="425"/>
      <c r="G368" s="425"/>
      <c r="H368" s="425"/>
      <c r="I368" s="425"/>
      <c r="J368" s="426"/>
    </row>
    <row r="369" spans="1:10" ht="52.5" customHeight="1" x14ac:dyDescent="0.25">
      <c r="A369" s="232" t="s">
        <v>180</v>
      </c>
      <c r="B369" s="260" t="s">
        <v>347</v>
      </c>
      <c r="C369" s="219" t="s">
        <v>95</v>
      </c>
      <c r="D369" s="433" t="s">
        <v>530</v>
      </c>
      <c r="E369" s="433"/>
      <c r="F369" s="433"/>
      <c r="G369" s="433"/>
      <c r="H369" s="433"/>
      <c r="I369" s="219" t="str">
        <f>I370</f>
        <v>PÇ</v>
      </c>
      <c r="J369" s="233">
        <f>J370</f>
        <v>1</v>
      </c>
    </row>
    <row r="370" spans="1:10" x14ac:dyDescent="0.25">
      <c r="A370" s="234"/>
      <c r="B370" s="221"/>
      <c r="C370" s="221"/>
      <c r="D370" s="425" t="s">
        <v>346</v>
      </c>
      <c r="E370" s="425"/>
      <c r="F370" s="425"/>
      <c r="G370" s="425"/>
      <c r="H370" s="425"/>
      <c r="I370" s="221" t="s">
        <v>207</v>
      </c>
      <c r="J370" s="239">
        <v>1</v>
      </c>
    </row>
    <row r="371" spans="1:10" x14ac:dyDescent="0.25">
      <c r="A371" s="424"/>
      <c r="B371" s="425"/>
      <c r="C371" s="425"/>
      <c r="D371" s="425"/>
      <c r="E371" s="425"/>
      <c r="F371" s="425"/>
      <c r="G371" s="425"/>
      <c r="H371" s="425"/>
      <c r="I371" s="425"/>
      <c r="J371" s="426"/>
    </row>
    <row r="372" spans="1:10" ht="39.75" customHeight="1" x14ac:dyDescent="0.25">
      <c r="A372" s="232" t="s">
        <v>181</v>
      </c>
      <c r="B372" s="367">
        <v>89707</v>
      </c>
      <c r="C372" s="219" t="s">
        <v>95</v>
      </c>
      <c r="D372" s="433" t="s">
        <v>701</v>
      </c>
      <c r="E372" s="433"/>
      <c r="F372" s="433"/>
      <c r="G372" s="433"/>
      <c r="H372" s="433"/>
      <c r="I372" s="219" t="str">
        <f>I373</f>
        <v>PÇ</v>
      </c>
      <c r="J372" s="233">
        <f>J373</f>
        <v>2</v>
      </c>
    </row>
    <row r="373" spans="1:10" x14ac:dyDescent="0.25">
      <c r="A373" s="234"/>
      <c r="B373" s="221"/>
      <c r="C373" s="221"/>
      <c r="D373" s="425" t="s">
        <v>346</v>
      </c>
      <c r="E373" s="425"/>
      <c r="F373" s="425"/>
      <c r="G373" s="425"/>
      <c r="H373" s="425"/>
      <c r="I373" s="221" t="s">
        <v>207</v>
      </c>
      <c r="J373" s="239">
        <v>2</v>
      </c>
    </row>
    <row r="374" spans="1:10" x14ac:dyDescent="0.25">
      <c r="A374" s="424"/>
      <c r="B374" s="425"/>
      <c r="C374" s="425"/>
      <c r="D374" s="425"/>
      <c r="E374" s="425"/>
      <c r="F374" s="425"/>
      <c r="G374" s="425"/>
      <c r="H374" s="425"/>
      <c r="I374" s="425"/>
      <c r="J374" s="426"/>
    </row>
    <row r="375" spans="1:10" ht="36.75" customHeight="1" x14ac:dyDescent="0.25">
      <c r="A375" s="232" t="s">
        <v>182</v>
      </c>
      <c r="B375" s="367">
        <v>89708</v>
      </c>
      <c r="C375" s="219" t="s">
        <v>95</v>
      </c>
      <c r="D375" s="433" t="s">
        <v>702</v>
      </c>
      <c r="E375" s="433"/>
      <c r="F375" s="433"/>
      <c r="G375" s="433"/>
      <c r="H375" s="433"/>
      <c r="I375" s="219" t="str">
        <f>I376</f>
        <v>PÇ</v>
      </c>
      <c r="J375" s="233">
        <f>J376</f>
        <v>3</v>
      </c>
    </row>
    <row r="376" spans="1:10" x14ac:dyDescent="0.25">
      <c r="A376" s="234"/>
      <c r="B376" s="221"/>
      <c r="C376" s="221"/>
      <c r="D376" s="425" t="s">
        <v>346</v>
      </c>
      <c r="E376" s="425"/>
      <c r="F376" s="425"/>
      <c r="G376" s="425"/>
      <c r="H376" s="425"/>
      <c r="I376" s="221" t="s">
        <v>207</v>
      </c>
      <c r="J376" s="239">
        <v>3</v>
      </c>
    </row>
    <row r="377" spans="1:10" x14ac:dyDescent="0.25">
      <c r="A377" s="424"/>
      <c r="B377" s="425"/>
      <c r="C377" s="425"/>
      <c r="D377" s="425"/>
      <c r="E377" s="425"/>
      <c r="F377" s="425"/>
      <c r="G377" s="425"/>
      <c r="H377" s="425"/>
      <c r="I377" s="425"/>
      <c r="J377" s="426"/>
    </row>
    <row r="378" spans="1:10" ht="17.25" customHeight="1" x14ac:dyDescent="0.25">
      <c r="A378" s="232" t="s">
        <v>183</v>
      </c>
      <c r="B378" s="219">
        <v>72295</v>
      </c>
      <c r="C378" s="219" t="s">
        <v>95</v>
      </c>
      <c r="D378" s="433" t="s">
        <v>348</v>
      </c>
      <c r="E378" s="433"/>
      <c r="F378" s="433"/>
      <c r="G378" s="433"/>
      <c r="H378" s="433"/>
      <c r="I378" s="219" t="str">
        <f>I379</f>
        <v>PÇ</v>
      </c>
      <c r="J378" s="233">
        <f>J379</f>
        <v>1</v>
      </c>
    </row>
    <row r="379" spans="1:10" x14ac:dyDescent="0.25">
      <c r="A379" s="234"/>
      <c r="B379" s="221"/>
      <c r="C379" s="221"/>
      <c r="D379" s="425" t="s">
        <v>346</v>
      </c>
      <c r="E379" s="425"/>
      <c r="F379" s="425"/>
      <c r="G379" s="425"/>
      <c r="H379" s="425"/>
      <c r="I379" s="221" t="s">
        <v>207</v>
      </c>
      <c r="J379" s="239">
        <v>1</v>
      </c>
    </row>
    <row r="380" spans="1:10" x14ac:dyDescent="0.25">
      <c r="A380" s="424"/>
      <c r="B380" s="425"/>
      <c r="C380" s="425"/>
      <c r="D380" s="425"/>
      <c r="E380" s="425"/>
      <c r="F380" s="425"/>
      <c r="G380" s="425"/>
      <c r="H380" s="425"/>
      <c r="I380" s="425"/>
      <c r="J380" s="426"/>
    </row>
    <row r="381" spans="1:10" ht="25.5" customHeight="1" x14ac:dyDescent="0.25">
      <c r="A381" s="232" t="s">
        <v>184</v>
      </c>
      <c r="B381" s="219">
        <v>11886</v>
      </c>
      <c r="C381" s="219" t="s">
        <v>95</v>
      </c>
      <c r="D381" s="433" t="s">
        <v>531</v>
      </c>
      <c r="E381" s="433"/>
      <c r="F381" s="433"/>
      <c r="G381" s="433"/>
      <c r="H381" s="433"/>
      <c r="I381" s="219" t="str">
        <f>I382</f>
        <v>PÇ</v>
      </c>
      <c r="J381" s="233">
        <f>J382</f>
        <v>1</v>
      </c>
    </row>
    <row r="382" spans="1:10" x14ac:dyDescent="0.25">
      <c r="A382" s="234"/>
      <c r="B382" s="221"/>
      <c r="C382" s="221"/>
      <c r="D382" s="425" t="s">
        <v>346</v>
      </c>
      <c r="E382" s="425"/>
      <c r="F382" s="425"/>
      <c r="G382" s="425"/>
      <c r="H382" s="425"/>
      <c r="I382" s="221" t="s">
        <v>207</v>
      </c>
      <c r="J382" s="239">
        <v>1</v>
      </c>
    </row>
    <row r="383" spans="1:10" x14ac:dyDescent="0.25">
      <c r="A383" s="424"/>
      <c r="B383" s="425"/>
      <c r="C383" s="425"/>
      <c r="D383" s="425"/>
      <c r="E383" s="425"/>
      <c r="F383" s="425"/>
      <c r="G383" s="425"/>
      <c r="H383" s="425"/>
      <c r="I383" s="425"/>
      <c r="J383" s="426"/>
    </row>
    <row r="384" spans="1:10" ht="23.25" customHeight="1" x14ac:dyDescent="0.25">
      <c r="A384" s="232" t="s">
        <v>185</v>
      </c>
      <c r="B384" s="219">
        <v>11886</v>
      </c>
      <c r="C384" s="219" t="s">
        <v>95</v>
      </c>
      <c r="D384" s="433" t="s">
        <v>349</v>
      </c>
      <c r="E384" s="433"/>
      <c r="F384" s="433"/>
      <c r="G384" s="433"/>
      <c r="H384" s="433"/>
      <c r="I384" s="219" t="str">
        <f>I385</f>
        <v>PÇ</v>
      </c>
      <c r="J384" s="233">
        <f>J385</f>
        <v>1</v>
      </c>
    </row>
    <row r="385" spans="1:10" x14ac:dyDescent="0.25">
      <c r="A385" s="234"/>
      <c r="B385" s="221"/>
      <c r="C385" s="221"/>
      <c r="D385" s="425" t="s">
        <v>346</v>
      </c>
      <c r="E385" s="425"/>
      <c r="F385" s="425"/>
      <c r="G385" s="425"/>
      <c r="H385" s="425"/>
      <c r="I385" s="221" t="s">
        <v>207</v>
      </c>
      <c r="J385" s="239">
        <v>1</v>
      </c>
    </row>
    <row r="386" spans="1:10" x14ac:dyDescent="0.25">
      <c r="A386" s="424"/>
      <c r="B386" s="425"/>
      <c r="C386" s="425"/>
      <c r="D386" s="425"/>
      <c r="E386" s="425"/>
      <c r="F386" s="425"/>
      <c r="G386" s="425"/>
      <c r="H386" s="425"/>
      <c r="I386" s="425"/>
      <c r="J386" s="426"/>
    </row>
    <row r="387" spans="1:10" ht="42.75" customHeight="1" x14ac:dyDescent="0.25">
      <c r="A387" s="232" t="s">
        <v>186</v>
      </c>
      <c r="B387" s="219" t="s">
        <v>350</v>
      </c>
      <c r="C387" s="219" t="s">
        <v>95</v>
      </c>
      <c r="D387" s="433" t="s">
        <v>532</v>
      </c>
      <c r="E387" s="433"/>
      <c r="F387" s="433"/>
      <c r="G387" s="433"/>
      <c r="H387" s="433"/>
      <c r="I387" s="219" t="str">
        <f>I388</f>
        <v>PÇ</v>
      </c>
      <c r="J387" s="233">
        <f>J388</f>
        <v>1</v>
      </c>
    </row>
    <row r="388" spans="1:10" x14ac:dyDescent="0.25">
      <c r="A388" s="234"/>
      <c r="B388" s="221"/>
      <c r="C388" s="221"/>
      <c r="D388" s="425" t="s">
        <v>346</v>
      </c>
      <c r="E388" s="425"/>
      <c r="F388" s="425"/>
      <c r="G388" s="425"/>
      <c r="H388" s="425"/>
      <c r="I388" s="221" t="s">
        <v>207</v>
      </c>
      <c r="J388" s="239">
        <v>1</v>
      </c>
    </row>
    <row r="389" spans="1:10" x14ac:dyDescent="0.25">
      <c r="A389" s="424"/>
      <c r="B389" s="425"/>
      <c r="C389" s="425"/>
      <c r="D389" s="425"/>
      <c r="E389" s="425"/>
      <c r="F389" s="425"/>
      <c r="G389" s="425"/>
      <c r="H389" s="425"/>
      <c r="I389" s="425"/>
      <c r="J389" s="426"/>
    </row>
    <row r="390" spans="1:10" ht="40.5" customHeight="1" x14ac:dyDescent="0.25">
      <c r="A390" s="232" t="s">
        <v>187</v>
      </c>
      <c r="B390" s="367">
        <v>89726</v>
      </c>
      <c r="C390" s="219" t="s">
        <v>95</v>
      </c>
      <c r="D390" s="433" t="s">
        <v>703</v>
      </c>
      <c r="E390" s="433"/>
      <c r="F390" s="433"/>
      <c r="G390" s="433"/>
      <c r="H390" s="433"/>
      <c r="I390" s="219" t="str">
        <f>I391</f>
        <v>PÇ</v>
      </c>
      <c r="J390" s="233">
        <f>J391</f>
        <v>7</v>
      </c>
    </row>
    <row r="391" spans="1:10" x14ac:dyDescent="0.25">
      <c r="A391" s="234"/>
      <c r="B391" s="221"/>
      <c r="C391" s="221"/>
      <c r="D391" s="425" t="s">
        <v>346</v>
      </c>
      <c r="E391" s="425"/>
      <c r="F391" s="425"/>
      <c r="G391" s="425"/>
      <c r="H391" s="425"/>
      <c r="I391" s="221" t="s">
        <v>207</v>
      </c>
      <c r="J391" s="239">
        <v>7</v>
      </c>
    </row>
    <row r="392" spans="1:10" x14ac:dyDescent="0.25">
      <c r="A392" s="424"/>
      <c r="B392" s="425"/>
      <c r="C392" s="425"/>
      <c r="D392" s="425"/>
      <c r="E392" s="425"/>
      <c r="F392" s="425"/>
      <c r="G392" s="425"/>
      <c r="H392" s="425"/>
      <c r="I392" s="425"/>
      <c r="J392" s="426"/>
    </row>
    <row r="393" spans="1:10" ht="36" customHeight="1" x14ac:dyDescent="0.25">
      <c r="A393" s="232" t="s">
        <v>188</v>
      </c>
      <c r="B393" s="367">
        <v>89724</v>
      </c>
      <c r="C393" s="219" t="s">
        <v>95</v>
      </c>
      <c r="D393" s="433" t="s">
        <v>669</v>
      </c>
      <c r="E393" s="433"/>
      <c r="F393" s="433"/>
      <c r="G393" s="433"/>
      <c r="H393" s="433"/>
      <c r="I393" s="219" t="str">
        <f>I394</f>
        <v>PÇ</v>
      </c>
      <c r="J393" s="233">
        <f>J394</f>
        <v>2</v>
      </c>
    </row>
    <row r="394" spans="1:10" x14ac:dyDescent="0.25">
      <c r="A394" s="234"/>
      <c r="B394" s="221"/>
      <c r="C394" s="221"/>
      <c r="D394" s="425" t="s">
        <v>346</v>
      </c>
      <c r="E394" s="425"/>
      <c r="F394" s="425"/>
      <c r="G394" s="425"/>
      <c r="H394" s="425"/>
      <c r="I394" s="221" t="s">
        <v>207</v>
      </c>
      <c r="J394" s="239">
        <v>2</v>
      </c>
    </row>
    <row r="395" spans="1:10" x14ac:dyDescent="0.25">
      <c r="A395" s="424"/>
      <c r="B395" s="425"/>
      <c r="C395" s="425"/>
      <c r="D395" s="425"/>
      <c r="E395" s="425"/>
      <c r="F395" s="425"/>
      <c r="G395" s="425"/>
      <c r="H395" s="425"/>
      <c r="I395" s="425"/>
      <c r="J395" s="426"/>
    </row>
    <row r="396" spans="1:10" ht="37.5" customHeight="1" x14ac:dyDescent="0.25">
      <c r="A396" s="232" t="s">
        <v>189</v>
      </c>
      <c r="B396" s="367">
        <v>89737</v>
      </c>
      <c r="C396" s="219" t="s">
        <v>95</v>
      </c>
      <c r="D396" s="433" t="s">
        <v>671</v>
      </c>
      <c r="E396" s="433"/>
      <c r="F396" s="433"/>
      <c r="G396" s="433"/>
      <c r="H396" s="433"/>
      <c r="I396" s="219" t="str">
        <f>I397</f>
        <v>PÇ</v>
      </c>
      <c r="J396" s="233">
        <f>J397</f>
        <v>1</v>
      </c>
    </row>
    <row r="397" spans="1:10" x14ac:dyDescent="0.25">
      <c r="A397" s="234"/>
      <c r="B397" s="221"/>
      <c r="C397" s="221"/>
      <c r="D397" s="425" t="s">
        <v>346</v>
      </c>
      <c r="E397" s="425"/>
      <c r="F397" s="425"/>
      <c r="G397" s="425"/>
      <c r="H397" s="425"/>
      <c r="I397" s="221" t="s">
        <v>207</v>
      </c>
      <c r="J397" s="239">
        <v>1</v>
      </c>
    </row>
    <row r="398" spans="1:10" x14ac:dyDescent="0.25">
      <c r="A398" s="424"/>
      <c r="B398" s="425"/>
      <c r="C398" s="425"/>
      <c r="D398" s="425"/>
      <c r="E398" s="425"/>
      <c r="F398" s="425"/>
      <c r="G398" s="425"/>
      <c r="H398" s="425"/>
      <c r="I398" s="425"/>
      <c r="J398" s="426"/>
    </row>
    <row r="399" spans="1:10" ht="41.25" customHeight="1" x14ac:dyDescent="0.25">
      <c r="A399" s="232" t="s">
        <v>190</v>
      </c>
      <c r="B399" s="367">
        <v>89744</v>
      </c>
      <c r="C399" s="219" t="s">
        <v>95</v>
      </c>
      <c r="D399" s="433" t="s">
        <v>670</v>
      </c>
      <c r="E399" s="433"/>
      <c r="F399" s="433"/>
      <c r="G399" s="433"/>
      <c r="H399" s="433"/>
      <c r="I399" s="219" t="str">
        <f>I400</f>
        <v>PÇ</v>
      </c>
      <c r="J399" s="233">
        <f>J400</f>
        <v>5</v>
      </c>
    </row>
    <row r="400" spans="1:10" x14ac:dyDescent="0.25">
      <c r="A400" s="234"/>
      <c r="B400" s="221"/>
      <c r="C400" s="221"/>
      <c r="D400" s="425" t="s">
        <v>346</v>
      </c>
      <c r="E400" s="425"/>
      <c r="F400" s="425"/>
      <c r="G400" s="425"/>
      <c r="H400" s="425"/>
      <c r="I400" s="221" t="s">
        <v>207</v>
      </c>
      <c r="J400" s="239">
        <v>5</v>
      </c>
    </row>
    <row r="401" spans="1:10" x14ac:dyDescent="0.25">
      <c r="A401" s="424"/>
      <c r="B401" s="425"/>
      <c r="C401" s="425"/>
      <c r="D401" s="425"/>
      <c r="E401" s="425"/>
      <c r="F401" s="425"/>
      <c r="G401" s="425"/>
      <c r="H401" s="425"/>
      <c r="I401" s="425"/>
      <c r="J401" s="426"/>
    </row>
    <row r="402" spans="1:10" ht="43.5" customHeight="1" x14ac:dyDescent="0.25">
      <c r="A402" s="232" t="s">
        <v>191</v>
      </c>
      <c r="B402" s="367">
        <v>89797</v>
      </c>
      <c r="C402" s="219" t="s">
        <v>95</v>
      </c>
      <c r="D402" s="433" t="s">
        <v>704</v>
      </c>
      <c r="E402" s="433"/>
      <c r="F402" s="433"/>
      <c r="G402" s="433"/>
      <c r="H402" s="433"/>
      <c r="I402" s="219" t="str">
        <f>I403</f>
        <v>PÇ</v>
      </c>
      <c r="J402" s="233">
        <f>J403</f>
        <v>4</v>
      </c>
    </row>
    <row r="403" spans="1:10" x14ac:dyDescent="0.25">
      <c r="A403" s="234"/>
      <c r="B403" s="221"/>
      <c r="C403" s="221"/>
      <c r="D403" s="425" t="s">
        <v>346</v>
      </c>
      <c r="E403" s="425"/>
      <c r="F403" s="425"/>
      <c r="G403" s="425"/>
      <c r="H403" s="425"/>
      <c r="I403" s="221" t="s">
        <v>207</v>
      </c>
      <c r="J403" s="239">
        <v>4</v>
      </c>
    </row>
    <row r="404" spans="1:10" x14ac:dyDescent="0.25">
      <c r="A404" s="424"/>
      <c r="B404" s="425"/>
      <c r="C404" s="425"/>
      <c r="D404" s="425"/>
      <c r="E404" s="425"/>
      <c r="F404" s="425"/>
      <c r="G404" s="425"/>
      <c r="H404" s="425"/>
      <c r="I404" s="425"/>
      <c r="J404" s="426"/>
    </row>
    <row r="405" spans="1:10" ht="19.5" customHeight="1" x14ac:dyDescent="0.25">
      <c r="A405" s="232" t="s">
        <v>192</v>
      </c>
      <c r="B405" s="219">
        <v>20143</v>
      </c>
      <c r="C405" s="219" t="s">
        <v>95</v>
      </c>
      <c r="D405" s="433" t="s">
        <v>534</v>
      </c>
      <c r="E405" s="433"/>
      <c r="F405" s="433"/>
      <c r="G405" s="433"/>
      <c r="H405" s="433"/>
      <c r="I405" s="219" t="str">
        <f>I406</f>
        <v>PÇ</v>
      </c>
      <c r="J405" s="233">
        <f>J406</f>
        <v>1</v>
      </c>
    </row>
    <row r="406" spans="1:10" x14ac:dyDescent="0.25">
      <c r="A406" s="234"/>
      <c r="B406" s="221"/>
      <c r="C406" s="221"/>
      <c r="D406" s="425" t="s">
        <v>346</v>
      </c>
      <c r="E406" s="425"/>
      <c r="F406" s="425"/>
      <c r="G406" s="425"/>
      <c r="H406" s="425"/>
      <c r="I406" s="221" t="s">
        <v>207</v>
      </c>
      <c r="J406" s="239">
        <v>1</v>
      </c>
    </row>
    <row r="407" spans="1:10" x14ac:dyDescent="0.25">
      <c r="A407" s="424"/>
      <c r="B407" s="425"/>
      <c r="C407" s="425"/>
      <c r="D407" s="425"/>
      <c r="E407" s="425"/>
      <c r="F407" s="425"/>
      <c r="G407" s="425"/>
      <c r="H407" s="425"/>
      <c r="I407" s="425"/>
      <c r="J407" s="426"/>
    </row>
    <row r="408" spans="1:10" ht="15" customHeight="1" x14ac:dyDescent="0.25">
      <c r="A408" s="232" t="s">
        <v>193</v>
      </c>
      <c r="B408" s="219">
        <v>20042</v>
      </c>
      <c r="C408" s="219" t="s">
        <v>95</v>
      </c>
      <c r="D408" s="433" t="s">
        <v>535</v>
      </c>
      <c r="E408" s="433"/>
      <c r="F408" s="433"/>
      <c r="G408" s="433"/>
      <c r="H408" s="433"/>
      <c r="I408" s="219" t="str">
        <f>I409</f>
        <v>PÇ</v>
      </c>
      <c r="J408" s="233">
        <f>J409</f>
        <v>2</v>
      </c>
    </row>
    <row r="409" spans="1:10" x14ac:dyDescent="0.25">
      <c r="A409" s="234"/>
      <c r="B409" s="221"/>
      <c r="C409" s="221"/>
      <c r="D409" s="425" t="s">
        <v>346</v>
      </c>
      <c r="E409" s="425"/>
      <c r="F409" s="425"/>
      <c r="G409" s="425"/>
      <c r="H409" s="425"/>
      <c r="I409" s="221" t="s">
        <v>207</v>
      </c>
      <c r="J409" s="239">
        <v>2</v>
      </c>
    </row>
    <row r="410" spans="1:10" x14ac:dyDescent="0.25">
      <c r="A410" s="424"/>
      <c r="B410" s="425"/>
      <c r="C410" s="425"/>
      <c r="D410" s="425"/>
      <c r="E410" s="425"/>
      <c r="F410" s="425"/>
      <c r="G410" s="425"/>
      <c r="H410" s="425"/>
      <c r="I410" s="425"/>
      <c r="J410" s="426"/>
    </row>
    <row r="411" spans="1:10" ht="25.5" customHeight="1" x14ac:dyDescent="0.25">
      <c r="A411" s="232" t="s">
        <v>194</v>
      </c>
      <c r="B411" s="219">
        <v>5102</v>
      </c>
      <c r="C411" s="219" t="s">
        <v>95</v>
      </c>
      <c r="D411" s="433" t="s">
        <v>351</v>
      </c>
      <c r="E411" s="433"/>
      <c r="F411" s="433"/>
      <c r="G411" s="433"/>
      <c r="H411" s="433"/>
      <c r="I411" s="219" t="str">
        <f>I412</f>
        <v>PÇ</v>
      </c>
      <c r="J411" s="233">
        <f>J412</f>
        <v>2</v>
      </c>
    </row>
    <row r="412" spans="1:10" x14ac:dyDescent="0.25">
      <c r="A412" s="234"/>
      <c r="B412" s="221"/>
      <c r="C412" s="221"/>
      <c r="D412" s="425" t="s">
        <v>346</v>
      </c>
      <c r="E412" s="425"/>
      <c r="F412" s="425"/>
      <c r="G412" s="425"/>
      <c r="H412" s="425"/>
      <c r="I412" s="221" t="s">
        <v>207</v>
      </c>
      <c r="J412" s="239">
        <v>2</v>
      </c>
    </row>
    <row r="413" spans="1:10" x14ac:dyDescent="0.25">
      <c r="A413" s="424"/>
      <c r="B413" s="425"/>
      <c r="C413" s="425"/>
      <c r="D413" s="425"/>
      <c r="E413" s="425"/>
      <c r="F413" s="425"/>
      <c r="G413" s="425"/>
      <c r="H413" s="425"/>
      <c r="I413" s="425"/>
      <c r="J413" s="426"/>
    </row>
    <row r="414" spans="1:10" ht="15" customHeight="1" x14ac:dyDescent="0.25">
      <c r="A414" s="232" t="s">
        <v>195</v>
      </c>
      <c r="B414" s="219">
        <v>20178</v>
      </c>
      <c r="C414" s="219" t="s">
        <v>95</v>
      </c>
      <c r="D414" s="433" t="s">
        <v>352</v>
      </c>
      <c r="E414" s="433"/>
      <c r="F414" s="433"/>
      <c r="G414" s="433"/>
      <c r="H414" s="433"/>
      <c r="I414" s="219" t="str">
        <f>I415</f>
        <v>PÇ</v>
      </c>
      <c r="J414" s="233">
        <f>J415</f>
        <v>1</v>
      </c>
    </row>
    <row r="415" spans="1:10" x14ac:dyDescent="0.25">
      <c r="A415" s="234"/>
      <c r="B415" s="221"/>
      <c r="C415" s="221"/>
      <c r="D415" s="425" t="s">
        <v>346</v>
      </c>
      <c r="E415" s="425"/>
      <c r="F415" s="425"/>
      <c r="G415" s="425"/>
      <c r="H415" s="425"/>
      <c r="I415" s="221" t="s">
        <v>207</v>
      </c>
      <c r="J415" s="239">
        <v>1</v>
      </c>
    </row>
    <row r="416" spans="1:10" x14ac:dyDescent="0.25">
      <c r="A416" s="424"/>
      <c r="B416" s="425"/>
      <c r="C416" s="425"/>
      <c r="D416" s="425"/>
      <c r="E416" s="425"/>
      <c r="F416" s="425"/>
      <c r="G416" s="425"/>
      <c r="H416" s="425"/>
      <c r="I416" s="425"/>
      <c r="J416" s="426"/>
    </row>
    <row r="417" spans="1:10" ht="15" customHeight="1" x14ac:dyDescent="0.25">
      <c r="A417" s="232" t="s">
        <v>196</v>
      </c>
      <c r="B417" s="219">
        <v>7097</v>
      </c>
      <c r="C417" s="219" t="s">
        <v>95</v>
      </c>
      <c r="D417" s="433" t="s">
        <v>533</v>
      </c>
      <c r="E417" s="433"/>
      <c r="F417" s="433"/>
      <c r="G417" s="433"/>
      <c r="H417" s="433"/>
      <c r="I417" s="219" t="str">
        <f>I418</f>
        <v>PÇ</v>
      </c>
      <c r="J417" s="233">
        <f>J418</f>
        <v>4</v>
      </c>
    </row>
    <row r="418" spans="1:10" x14ac:dyDescent="0.25">
      <c r="A418" s="234"/>
      <c r="B418" s="221"/>
      <c r="C418" s="221"/>
      <c r="D418" s="425" t="s">
        <v>346</v>
      </c>
      <c r="E418" s="425"/>
      <c r="F418" s="425"/>
      <c r="G418" s="425"/>
      <c r="H418" s="425"/>
      <c r="I418" s="221" t="s">
        <v>207</v>
      </c>
      <c r="J418" s="239">
        <v>4</v>
      </c>
    </row>
    <row r="419" spans="1:10" x14ac:dyDescent="0.25">
      <c r="A419" s="424"/>
      <c r="B419" s="425"/>
      <c r="C419" s="425"/>
      <c r="D419" s="425"/>
      <c r="E419" s="425"/>
      <c r="F419" s="425"/>
      <c r="G419" s="425"/>
      <c r="H419" s="425"/>
      <c r="I419" s="425"/>
      <c r="J419" s="426"/>
    </row>
    <row r="420" spans="1:10" ht="34.5" customHeight="1" x14ac:dyDescent="0.25">
      <c r="A420" s="232" t="s">
        <v>197</v>
      </c>
      <c r="B420" s="367">
        <v>89810</v>
      </c>
      <c r="C420" s="219" t="s">
        <v>95</v>
      </c>
      <c r="D420" s="433" t="s">
        <v>673</v>
      </c>
      <c r="E420" s="433"/>
      <c r="F420" s="433"/>
      <c r="G420" s="433"/>
      <c r="H420" s="433"/>
      <c r="I420" s="219" t="str">
        <f>I421</f>
        <v>PÇ</v>
      </c>
      <c r="J420" s="233">
        <f>J421</f>
        <v>1</v>
      </c>
    </row>
    <row r="421" spans="1:10" x14ac:dyDescent="0.25">
      <c r="A421" s="234"/>
      <c r="B421" s="221"/>
      <c r="C421" s="221"/>
      <c r="D421" s="425" t="s">
        <v>346</v>
      </c>
      <c r="E421" s="425"/>
      <c r="F421" s="425"/>
      <c r="G421" s="425"/>
      <c r="H421" s="425"/>
      <c r="I421" s="221" t="s">
        <v>207</v>
      </c>
      <c r="J421" s="239">
        <v>1</v>
      </c>
    </row>
    <row r="422" spans="1:10" x14ac:dyDescent="0.25">
      <c r="A422" s="424"/>
      <c r="B422" s="425"/>
      <c r="C422" s="425"/>
      <c r="D422" s="425"/>
      <c r="E422" s="425"/>
      <c r="F422" s="425"/>
      <c r="G422" s="425"/>
      <c r="H422" s="425"/>
      <c r="I422" s="425"/>
      <c r="J422" s="426"/>
    </row>
    <row r="423" spans="1:10" ht="35.25" customHeight="1" x14ac:dyDescent="0.25">
      <c r="A423" s="232" t="s">
        <v>198</v>
      </c>
      <c r="B423" s="367">
        <v>89714</v>
      </c>
      <c r="C423" s="219" t="s">
        <v>95</v>
      </c>
      <c r="D423" s="433" t="s">
        <v>674</v>
      </c>
      <c r="E423" s="433"/>
      <c r="F423" s="433"/>
      <c r="G423" s="433"/>
      <c r="H423" s="433"/>
      <c r="I423" s="219" t="str">
        <f>I424</f>
        <v>m</v>
      </c>
      <c r="J423" s="233">
        <f>J424</f>
        <v>30</v>
      </c>
    </row>
    <row r="424" spans="1:10" x14ac:dyDescent="0.25">
      <c r="A424" s="234"/>
      <c r="B424" s="221"/>
      <c r="C424" s="221"/>
      <c r="D424" s="425" t="s">
        <v>346</v>
      </c>
      <c r="E424" s="425"/>
      <c r="F424" s="425"/>
      <c r="G424" s="425"/>
      <c r="H424" s="425"/>
      <c r="I424" s="221" t="s">
        <v>215</v>
      </c>
      <c r="J424" s="239">
        <v>30</v>
      </c>
    </row>
    <row r="425" spans="1:10" x14ac:dyDescent="0.25">
      <c r="A425" s="424"/>
      <c r="B425" s="425"/>
      <c r="C425" s="425"/>
      <c r="D425" s="425"/>
      <c r="E425" s="425"/>
      <c r="F425" s="425"/>
      <c r="G425" s="425"/>
      <c r="H425" s="425"/>
      <c r="I425" s="425"/>
      <c r="J425" s="426"/>
    </row>
    <row r="426" spans="1:10" ht="36.75" customHeight="1" x14ac:dyDescent="0.25">
      <c r="A426" s="232" t="s">
        <v>199</v>
      </c>
      <c r="B426" s="367">
        <v>89713</v>
      </c>
      <c r="C426" s="219" t="s">
        <v>95</v>
      </c>
      <c r="D426" s="433" t="s">
        <v>675</v>
      </c>
      <c r="E426" s="433"/>
      <c r="F426" s="433"/>
      <c r="G426" s="433"/>
      <c r="H426" s="433"/>
      <c r="I426" s="219" t="str">
        <f>I427</f>
        <v>m</v>
      </c>
      <c r="J426" s="233">
        <f>J427</f>
        <v>12</v>
      </c>
    </row>
    <row r="427" spans="1:10" x14ac:dyDescent="0.25">
      <c r="A427" s="234"/>
      <c r="B427" s="221"/>
      <c r="C427" s="221"/>
      <c r="D427" s="425" t="s">
        <v>346</v>
      </c>
      <c r="E427" s="425"/>
      <c r="F427" s="425"/>
      <c r="G427" s="425"/>
      <c r="H427" s="425"/>
      <c r="I427" s="221" t="s">
        <v>215</v>
      </c>
      <c r="J427" s="239">
        <v>12</v>
      </c>
    </row>
    <row r="428" spans="1:10" x14ac:dyDescent="0.25">
      <c r="A428" s="424"/>
      <c r="B428" s="425"/>
      <c r="C428" s="425"/>
      <c r="D428" s="425"/>
      <c r="E428" s="425"/>
      <c r="F428" s="425"/>
      <c r="G428" s="425"/>
      <c r="H428" s="425"/>
      <c r="I428" s="425"/>
      <c r="J428" s="426"/>
    </row>
    <row r="429" spans="1:10" ht="39" customHeight="1" x14ac:dyDescent="0.25">
      <c r="A429" s="232" t="s">
        <v>200</v>
      </c>
      <c r="B429" s="367">
        <v>89712</v>
      </c>
      <c r="C429" s="219" t="s">
        <v>95</v>
      </c>
      <c r="D429" s="433" t="s">
        <v>676</v>
      </c>
      <c r="E429" s="433"/>
      <c r="F429" s="433"/>
      <c r="G429" s="433"/>
      <c r="H429" s="433"/>
      <c r="I429" s="219" t="str">
        <f>I430</f>
        <v>m</v>
      </c>
      <c r="J429" s="233">
        <f>J430</f>
        <v>12</v>
      </c>
    </row>
    <row r="430" spans="1:10" x14ac:dyDescent="0.25">
      <c r="A430" s="234"/>
      <c r="B430" s="221"/>
      <c r="C430" s="221"/>
      <c r="D430" s="425" t="s">
        <v>346</v>
      </c>
      <c r="E430" s="425"/>
      <c r="F430" s="425"/>
      <c r="G430" s="425"/>
      <c r="H430" s="425"/>
      <c r="I430" s="221" t="s">
        <v>215</v>
      </c>
      <c r="J430" s="239">
        <v>12</v>
      </c>
    </row>
    <row r="431" spans="1:10" x14ac:dyDescent="0.25">
      <c r="A431" s="424"/>
      <c r="B431" s="425"/>
      <c r="C431" s="425"/>
      <c r="D431" s="425"/>
      <c r="E431" s="425"/>
      <c r="F431" s="425"/>
      <c r="G431" s="425"/>
      <c r="H431" s="425"/>
      <c r="I431" s="425"/>
      <c r="J431" s="426"/>
    </row>
    <row r="432" spans="1:10" ht="36" customHeight="1" x14ac:dyDescent="0.25">
      <c r="A432" s="232" t="s">
        <v>201</v>
      </c>
      <c r="B432" s="367">
        <v>89711</v>
      </c>
      <c r="C432" s="219" t="s">
        <v>95</v>
      </c>
      <c r="D432" s="433" t="s">
        <v>677</v>
      </c>
      <c r="E432" s="433"/>
      <c r="F432" s="433"/>
      <c r="G432" s="433"/>
      <c r="H432" s="433"/>
      <c r="I432" s="219" t="str">
        <f>I433</f>
        <v>m</v>
      </c>
      <c r="J432" s="233">
        <f>J433</f>
        <v>12</v>
      </c>
    </row>
    <row r="433" spans="1:10" x14ac:dyDescent="0.25">
      <c r="A433" s="234"/>
      <c r="B433" s="221"/>
      <c r="C433" s="221"/>
      <c r="D433" s="425" t="s">
        <v>346</v>
      </c>
      <c r="E433" s="425"/>
      <c r="F433" s="425"/>
      <c r="G433" s="425"/>
      <c r="H433" s="425"/>
      <c r="I433" s="221" t="s">
        <v>215</v>
      </c>
      <c r="J433" s="239">
        <v>12</v>
      </c>
    </row>
    <row r="434" spans="1:10" s="27" customFormat="1" x14ac:dyDescent="0.25">
      <c r="A434" s="424"/>
      <c r="B434" s="425"/>
      <c r="C434" s="425"/>
      <c r="D434" s="425"/>
      <c r="E434" s="425"/>
      <c r="F434" s="425"/>
      <c r="G434" s="425"/>
      <c r="H434" s="425"/>
      <c r="I434" s="425"/>
      <c r="J434" s="426"/>
    </row>
    <row r="435" spans="1:10" s="27" customFormat="1" ht="23.25" customHeight="1" x14ac:dyDescent="0.25">
      <c r="A435" s="240" t="s">
        <v>501</v>
      </c>
      <c r="B435" s="225">
        <v>180304</v>
      </c>
      <c r="C435" s="225" t="s">
        <v>424</v>
      </c>
      <c r="D435" s="435" t="s">
        <v>504</v>
      </c>
      <c r="E435" s="436"/>
      <c r="F435" s="436"/>
      <c r="G435" s="436" t="s">
        <v>459</v>
      </c>
      <c r="H435" s="437">
        <f>'MEMÓRIA DE CÁLCULO'!J819</f>
        <v>0</v>
      </c>
      <c r="I435" s="225" t="s">
        <v>459</v>
      </c>
      <c r="J435" s="241">
        <v>1</v>
      </c>
    </row>
    <row r="436" spans="1:10" s="27" customFormat="1" x14ac:dyDescent="0.25">
      <c r="A436" s="242"/>
      <c r="B436" s="227"/>
      <c r="C436" s="227"/>
      <c r="D436" s="438" t="s">
        <v>502</v>
      </c>
      <c r="E436" s="438"/>
      <c r="F436" s="438"/>
      <c r="G436" s="438"/>
      <c r="H436" s="438"/>
      <c r="I436" s="227"/>
      <c r="J436" s="257">
        <v>1</v>
      </c>
    </row>
    <row r="437" spans="1:10" x14ac:dyDescent="0.25">
      <c r="A437" s="424"/>
      <c r="B437" s="425"/>
      <c r="C437" s="425"/>
      <c r="D437" s="425"/>
      <c r="E437" s="425"/>
      <c r="F437" s="425"/>
      <c r="G437" s="425"/>
      <c r="H437" s="425"/>
      <c r="I437" s="425"/>
      <c r="J437" s="426"/>
    </row>
    <row r="438" spans="1:10" x14ac:dyDescent="0.25">
      <c r="A438" s="231" t="s">
        <v>202</v>
      </c>
      <c r="B438" s="430" t="s">
        <v>203</v>
      </c>
      <c r="C438" s="430"/>
      <c r="D438" s="430"/>
      <c r="E438" s="430"/>
      <c r="F438" s="430"/>
      <c r="G438" s="430"/>
      <c r="H438" s="430"/>
      <c r="I438" s="430"/>
      <c r="J438" s="431"/>
    </row>
    <row r="439" spans="1:10" x14ac:dyDescent="0.25">
      <c r="A439" s="424"/>
      <c r="B439" s="425"/>
      <c r="C439" s="425"/>
      <c r="D439" s="425"/>
      <c r="E439" s="425"/>
      <c r="F439" s="425"/>
      <c r="G439" s="425"/>
      <c r="H439" s="425"/>
      <c r="I439" s="425"/>
      <c r="J439" s="426"/>
    </row>
    <row r="440" spans="1:10" ht="47.25" customHeight="1" x14ac:dyDescent="0.25">
      <c r="A440" s="232" t="s">
        <v>204</v>
      </c>
      <c r="B440" s="219" t="s">
        <v>205</v>
      </c>
      <c r="C440" s="219" t="s">
        <v>95</v>
      </c>
      <c r="D440" s="433" t="s">
        <v>206</v>
      </c>
      <c r="E440" s="433"/>
      <c r="F440" s="433"/>
      <c r="G440" s="433"/>
      <c r="H440" s="433"/>
      <c r="I440" s="219" t="str">
        <f>I441</f>
        <v>PÇ</v>
      </c>
      <c r="J440" s="233">
        <f>J441</f>
        <v>5</v>
      </c>
    </row>
    <row r="441" spans="1:10" x14ac:dyDescent="0.25">
      <c r="A441" s="234"/>
      <c r="B441" s="221"/>
      <c r="C441" s="221"/>
      <c r="D441" s="425" t="s">
        <v>353</v>
      </c>
      <c r="E441" s="425"/>
      <c r="F441" s="425"/>
      <c r="G441" s="425"/>
      <c r="H441" s="425"/>
      <c r="I441" s="221" t="s">
        <v>207</v>
      </c>
      <c r="J441" s="239">
        <v>5</v>
      </c>
    </row>
    <row r="442" spans="1:10" x14ac:dyDescent="0.25">
      <c r="A442" s="424"/>
      <c r="B442" s="425"/>
      <c r="C442" s="425"/>
      <c r="D442" s="425"/>
      <c r="E442" s="425"/>
      <c r="F442" s="425"/>
      <c r="G442" s="425"/>
      <c r="H442" s="425"/>
      <c r="I442" s="425"/>
      <c r="J442" s="426"/>
    </row>
    <row r="443" spans="1:10" ht="52.5" customHeight="1" x14ac:dyDescent="0.25">
      <c r="A443" s="232" t="s">
        <v>208</v>
      </c>
      <c r="B443" s="219" t="s">
        <v>209</v>
      </c>
      <c r="C443" s="219" t="s">
        <v>95</v>
      </c>
      <c r="D443" s="433" t="s">
        <v>210</v>
      </c>
      <c r="E443" s="433"/>
      <c r="F443" s="433"/>
      <c r="G443" s="433"/>
      <c r="H443" s="433"/>
      <c r="I443" s="219" t="str">
        <f>I444</f>
        <v>PÇ</v>
      </c>
      <c r="J443" s="233">
        <f>J444</f>
        <v>3</v>
      </c>
    </row>
    <row r="444" spans="1:10" x14ac:dyDescent="0.25">
      <c r="A444" s="234"/>
      <c r="B444" s="221"/>
      <c r="C444" s="221"/>
      <c r="D444" s="425" t="s">
        <v>353</v>
      </c>
      <c r="E444" s="425"/>
      <c r="F444" s="425"/>
      <c r="G444" s="425"/>
      <c r="H444" s="425"/>
      <c r="I444" s="221" t="s">
        <v>207</v>
      </c>
      <c r="J444" s="239">
        <v>3</v>
      </c>
    </row>
    <row r="445" spans="1:10" x14ac:dyDescent="0.25">
      <c r="A445" s="424"/>
      <c r="B445" s="425"/>
      <c r="C445" s="425"/>
      <c r="D445" s="425"/>
      <c r="E445" s="425"/>
      <c r="F445" s="425"/>
      <c r="G445" s="425"/>
      <c r="H445" s="425"/>
      <c r="I445" s="425"/>
      <c r="J445" s="426"/>
    </row>
    <row r="446" spans="1:10" ht="32.25" customHeight="1" x14ac:dyDescent="0.25">
      <c r="A446" s="232" t="s">
        <v>211</v>
      </c>
      <c r="B446" s="439" t="s">
        <v>212</v>
      </c>
      <c r="C446" s="439"/>
      <c r="D446" s="433" t="s">
        <v>213</v>
      </c>
      <c r="E446" s="433"/>
      <c r="F446" s="433"/>
      <c r="G446" s="433"/>
      <c r="H446" s="433"/>
      <c r="I446" s="219" t="str">
        <f>I447</f>
        <v>PÇ</v>
      </c>
      <c r="J446" s="233">
        <f>J447</f>
        <v>3</v>
      </c>
    </row>
    <row r="447" spans="1:10" x14ac:dyDescent="0.25">
      <c r="A447" s="234"/>
      <c r="B447" s="221"/>
      <c r="C447" s="221"/>
      <c r="D447" s="425" t="s">
        <v>353</v>
      </c>
      <c r="E447" s="425"/>
      <c r="F447" s="425"/>
      <c r="G447" s="425"/>
      <c r="H447" s="425"/>
      <c r="I447" s="221" t="s">
        <v>207</v>
      </c>
      <c r="J447" s="239">
        <v>3</v>
      </c>
    </row>
    <row r="448" spans="1:10" x14ac:dyDescent="0.25">
      <c r="A448" s="424"/>
      <c r="B448" s="425"/>
      <c r="C448" s="425"/>
      <c r="D448" s="425"/>
      <c r="E448" s="425"/>
      <c r="F448" s="425"/>
      <c r="G448" s="425"/>
      <c r="H448" s="425"/>
      <c r="I448" s="425"/>
      <c r="J448" s="426"/>
    </row>
    <row r="449" spans="1:10" ht="24" customHeight="1" x14ac:dyDescent="0.25">
      <c r="A449" s="232" t="s">
        <v>214</v>
      </c>
      <c r="B449" s="219">
        <v>72935</v>
      </c>
      <c r="C449" s="219" t="s">
        <v>95</v>
      </c>
      <c r="D449" s="433" t="s">
        <v>536</v>
      </c>
      <c r="E449" s="433"/>
      <c r="F449" s="433"/>
      <c r="G449" s="433"/>
      <c r="H449" s="433"/>
      <c r="I449" s="219" t="str">
        <f>I450</f>
        <v>m</v>
      </c>
      <c r="J449" s="233">
        <f>J450</f>
        <v>0.5</v>
      </c>
    </row>
    <row r="450" spans="1:10" x14ac:dyDescent="0.25">
      <c r="A450" s="234"/>
      <c r="B450" s="221"/>
      <c r="C450" s="221"/>
      <c r="D450" s="425" t="s">
        <v>353</v>
      </c>
      <c r="E450" s="425"/>
      <c r="F450" s="425"/>
      <c r="G450" s="425"/>
      <c r="H450" s="425"/>
      <c r="I450" s="221" t="s">
        <v>215</v>
      </c>
      <c r="J450" s="239">
        <v>0.5</v>
      </c>
    </row>
    <row r="451" spans="1:10" x14ac:dyDescent="0.25">
      <c r="A451" s="424"/>
      <c r="B451" s="425"/>
      <c r="C451" s="425"/>
      <c r="D451" s="425"/>
      <c r="E451" s="425"/>
      <c r="F451" s="425"/>
      <c r="G451" s="425"/>
      <c r="H451" s="425"/>
      <c r="I451" s="425"/>
      <c r="J451" s="426"/>
    </row>
    <row r="452" spans="1:10" ht="24.75" customHeight="1" x14ac:dyDescent="0.25">
      <c r="A452" s="232" t="s">
        <v>216</v>
      </c>
      <c r="B452" s="219">
        <v>72934</v>
      </c>
      <c r="C452" s="219" t="s">
        <v>95</v>
      </c>
      <c r="D452" s="433" t="s">
        <v>537</v>
      </c>
      <c r="E452" s="433"/>
      <c r="F452" s="433"/>
      <c r="G452" s="433"/>
      <c r="H452" s="433"/>
      <c r="I452" s="219" t="str">
        <f>I453</f>
        <v>m</v>
      </c>
      <c r="J452" s="233">
        <f>J453</f>
        <v>353.6</v>
      </c>
    </row>
    <row r="453" spans="1:10" x14ac:dyDescent="0.25">
      <c r="A453" s="234"/>
      <c r="B453" s="221"/>
      <c r="C453" s="221"/>
      <c r="D453" s="425" t="s">
        <v>353</v>
      </c>
      <c r="E453" s="425"/>
      <c r="F453" s="425"/>
      <c r="G453" s="425"/>
      <c r="H453" s="425"/>
      <c r="I453" s="221" t="s">
        <v>215</v>
      </c>
      <c r="J453" s="239">
        <v>353.6</v>
      </c>
    </row>
    <row r="454" spans="1:10" x14ac:dyDescent="0.25">
      <c r="A454" s="424"/>
      <c r="B454" s="425"/>
      <c r="C454" s="425"/>
      <c r="D454" s="425"/>
      <c r="E454" s="425"/>
      <c r="F454" s="425"/>
      <c r="G454" s="425"/>
      <c r="H454" s="425"/>
      <c r="I454" s="425"/>
      <c r="J454" s="426"/>
    </row>
    <row r="455" spans="1:10" ht="22.5" customHeight="1" x14ac:dyDescent="0.25">
      <c r="A455" s="232" t="s">
        <v>217</v>
      </c>
      <c r="B455" s="219">
        <v>73613</v>
      </c>
      <c r="C455" s="219" t="s">
        <v>95</v>
      </c>
      <c r="D455" s="433" t="s">
        <v>538</v>
      </c>
      <c r="E455" s="433"/>
      <c r="F455" s="433"/>
      <c r="G455" s="433"/>
      <c r="H455" s="433"/>
      <c r="I455" s="219" t="str">
        <f>I456</f>
        <v>m</v>
      </c>
      <c r="J455" s="233">
        <f>J456</f>
        <v>2</v>
      </c>
    </row>
    <row r="456" spans="1:10" x14ac:dyDescent="0.25">
      <c r="A456" s="234"/>
      <c r="B456" s="221"/>
      <c r="C456" s="221"/>
      <c r="D456" s="425" t="s">
        <v>353</v>
      </c>
      <c r="E456" s="425"/>
      <c r="F456" s="425"/>
      <c r="G456" s="425"/>
      <c r="H456" s="425"/>
      <c r="I456" s="221" t="s">
        <v>215</v>
      </c>
      <c r="J456" s="239">
        <v>2</v>
      </c>
    </row>
    <row r="457" spans="1:10" x14ac:dyDescent="0.25">
      <c r="A457" s="424"/>
      <c r="B457" s="425"/>
      <c r="C457" s="425"/>
      <c r="D457" s="425"/>
      <c r="E457" s="425"/>
      <c r="F457" s="425"/>
      <c r="G457" s="425"/>
      <c r="H457" s="425"/>
      <c r="I457" s="425"/>
      <c r="J457" s="426"/>
    </row>
    <row r="458" spans="1:10" ht="24.75" customHeight="1" x14ac:dyDescent="0.25">
      <c r="A458" s="232" t="s">
        <v>218</v>
      </c>
      <c r="B458" s="219" t="s">
        <v>219</v>
      </c>
      <c r="C458" s="219" t="s">
        <v>95</v>
      </c>
      <c r="D458" s="433" t="s">
        <v>539</v>
      </c>
      <c r="E458" s="433"/>
      <c r="F458" s="433"/>
      <c r="G458" s="433"/>
      <c r="H458" s="433"/>
      <c r="I458" s="219" t="str">
        <f>I459</f>
        <v>m</v>
      </c>
      <c r="J458" s="233">
        <f>J459</f>
        <v>2</v>
      </c>
    </row>
    <row r="459" spans="1:10" x14ac:dyDescent="0.25">
      <c r="A459" s="234"/>
      <c r="B459" s="221"/>
      <c r="C459" s="221"/>
      <c r="D459" s="425" t="s">
        <v>353</v>
      </c>
      <c r="E459" s="425"/>
      <c r="F459" s="425"/>
      <c r="G459" s="425"/>
      <c r="H459" s="425"/>
      <c r="I459" s="221" t="s">
        <v>215</v>
      </c>
      <c r="J459" s="239">
        <v>2</v>
      </c>
    </row>
    <row r="460" spans="1:10" x14ac:dyDescent="0.25">
      <c r="A460" s="424"/>
      <c r="B460" s="425"/>
      <c r="C460" s="425"/>
      <c r="D460" s="425"/>
      <c r="E460" s="425"/>
      <c r="F460" s="425"/>
      <c r="G460" s="425"/>
      <c r="H460" s="425"/>
      <c r="I460" s="425"/>
      <c r="J460" s="426"/>
    </row>
    <row r="461" spans="1:10" ht="24" customHeight="1" x14ac:dyDescent="0.25">
      <c r="A461" s="232" t="s">
        <v>220</v>
      </c>
      <c r="B461" s="219">
        <v>55867</v>
      </c>
      <c r="C461" s="219" t="s">
        <v>95</v>
      </c>
      <c r="D461" s="433" t="s">
        <v>540</v>
      </c>
      <c r="E461" s="433"/>
      <c r="F461" s="433"/>
      <c r="G461" s="433"/>
      <c r="H461" s="433"/>
      <c r="I461" s="219" t="str">
        <f>I462</f>
        <v>m</v>
      </c>
      <c r="J461" s="233">
        <f>J462</f>
        <v>2</v>
      </c>
    </row>
    <row r="462" spans="1:10" x14ac:dyDescent="0.25">
      <c r="A462" s="234"/>
      <c r="B462" s="221"/>
      <c r="C462" s="221"/>
      <c r="D462" s="425" t="s">
        <v>353</v>
      </c>
      <c r="E462" s="425"/>
      <c r="F462" s="425"/>
      <c r="G462" s="425"/>
      <c r="H462" s="425"/>
      <c r="I462" s="221" t="s">
        <v>215</v>
      </c>
      <c r="J462" s="239">
        <v>2</v>
      </c>
    </row>
    <row r="463" spans="1:10" x14ac:dyDescent="0.25">
      <c r="A463" s="424"/>
      <c r="B463" s="425"/>
      <c r="C463" s="425"/>
      <c r="D463" s="425"/>
      <c r="E463" s="425"/>
      <c r="F463" s="425"/>
      <c r="G463" s="425"/>
      <c r="H463" s="425"/>
      <c r="I463" s="425"/>
      <c r="J463" s="426"/>
    </row>
    <row r="464" spans="1:10" ht="15" customHeight="1" x14ac:dyDescent="0.25">
      <c r="A464" s="232" t="s">
        <v>221</v>
      </c>
      <c r="B464" s="219">
        <v>83387</v>
      </c>
      <c r="C464" s="219" t="s">
        <v>95</v>
      </c>
      <c r="D464" s="433" t="s">
        <v>541</v>
      </c>
      <c r="E464" s="433"/>
      <c r="F464" s="433"/>
      <c r="G464" s="433"/>
      <c r="H464" s="433"/>
      <c r="I464" s="219" t="str">
        <f>I465</f>
        <v>PÇ</v>
      </c>
      <c r="J464" s="233">
        <f>J465</f>
        <v>42</v>
      </c>
    </row>
    <row r="465" spans="1:10" x14ac:dyDescent="0.25">
      <c r="A465" s="234"/>
      <c r="B465" s="221"/>
      <c r="C465" s="221"/>
      <c r="D465" s="425" t="s">
        <v>353</v>
      </c>
      <c r="E465" s="425"/>
      <c r="F465" s="425"/>
      <c r="G465" s="425"/>
      <c r="H465" s="425"/>
      <c r="I465" s="221" t="s">
        <v>207</v>
      </c>
      <c r="J465" s="239">
        <v>42</v>
      </c>
    </row>
    <row r="466" spans="1:10" x14ac:dyDescent="0.25">
      <c r="A466" s="424"/>
      <c r="B466" s="425"/>
      <c r="C466" s="425"/>
      <c r="D466" s="425"/>
      <c r="E466" s="425"/>
      <c r="F466" s="425"/>
      <c r="G466" s="425"/>
      <c r="H466" s="425"/>
      <c r="I466" s="425"/>
      <c r="J466" s="426"/>
    </row>
    <row r="467" spans="1:10" ht="15" customHeight="1" x14ac:dyDescent="0.25">
      <c r="A467" s="232" t="s">
        <v>222</v>
      </c>
      <c r="B467" s="219">
        <v>83388</v>
      </c>
      <c r="C467" s="219" t="s">
        <v>95</v>
      </c>
      <c r="D467" s="433" t="s">
        <v>223</v>
      </c>
      <c r="E467" s="433"/>
      <c r="F467" s="433"/>
      <c r="G467" s="433"/>
      <c r="H467" s="433"/>
      <c r="I467" s="219" t="str">
        <f>I468</f>
        <v>PÇ</v>
      </c>
      <c r="J467" s="233">
        <f>J468</f>
        <v>30</v>
      </c>
    </row>
    <row r="468" spans="1:10" x14ac:dyDescent="0.25">
      <c r="A468" s="234"/>
      <c r="B468" s="221"/>
      <c r="C468" s="221"/>
      <c r="D468" s="425" t="s">
        <v>353</v>
      </c>
      <c r="E468" s="425"/>
      <c r="F468" s="425"/>
      <c r="G468" s="425"/>
      <c r="H468" s="425"/>
      <c r="I468" s="221" t="s">
        <v>207</v>
      </c>
      <c r="J468" s="239">
        <v>30</v>
      </c>
    </row>
    <row r="469" spans="1:10" x14ac:dyDescent="0.25">
      <c r="A469" s="424"/>
      <c r="B469" s="425"/>
      <c r="C469" s="425"/>
      <c r="D469" s="425"/>
      <c r="E469" s="425"/>
      <c r="F469" s="425"/>
      <c r="G469" s="425"/>
      <c r="H469" s="425"/>
      <c r="I469" s="425"/>
      <c r="J469" s="426"/>
    </row>
    <row r="470" spans="1:10" ht="15" customHeight="1" x14ac:dyDescent="0.25">
      <c r="A470" s="232" t="s">
        <v>224</v>
      </c>
      <c r="B470" s="219">
        <v>72335</v>
      </c>
      <c r="C470" s="219" t="s">
        <v>95</v>
      </c>
      <c r="D470" s="433" t="s">
        <v>542</v>
      </c>
      <c r="E470" s="433"/>
      <c r="F470" s="433"/>
      <c r="G470" s="433"/>
      <c r="H470" s="433"/>
      <c r="I470" s="219" t="str">
        <f>I471</f>
        <v>PÇ</v>
      </c>
      <c r="J470" s="233">
        <f>J471</f>
        <v>12</v>
      </c>
    </row>
    <row r="471" spans="1:10" x14ac:dyDescent="0.25">
      <c r="A471" s="234"/>
      <c r="B471" s="221"/>
      <c r="C471" s="221"/>
      <c r="D471" s="425" t="s">
        <v>353</v>
      </c>
      <c r="E471" s="425"/>
      <c r="F471" s="425"/>
      <c r="G471" s="425"/>
      <c r="H471" s="425"/>
      <c r="I471" s="221" t="s">
        <v>207</v>
      </c>
      <c r="J471" s="239">
        <v>12</v>
      </c>
    </row>
    <row r="472" spans="1:10" x14ac:dyDescent="0.25">
      <c r="A472" s="424"/>
      <c r="B472" s="425"/>
      <c r="C472" s="425"/>
      <c r="D472" s="425"/>
      <c r="E472" s="425"/>
      <c r="F472" s="425"/>
      <c r="G472" s="425"/>
      <c r="H472" s="425"/>
      <c r="I472" s="425"/>
      <c r="J472" s="426"/>
    </row>
    <row r="473" spans="1:10" ht="15" customHeight="1" x14ac:dyDescent="0.25">
      <c r="A473" s="232" t="s">
        <v>225</v>
      </c>
      <c r="B473" s="439" t="s">
        <v>226</v>
      </c>
      <c r="C473" s="439"/>
      <c r="D473" s="433" t="s">
        <v>227</v>
      </c>
      <c r="E473" s="433"/>
      <c r="F473" s="433"/>
      <c r="G473" s="433"/>
      <c r="H473" s="433"/>
      <c r="I473" s="219" t="str">
        <f>I474</f>
        <v>PÇ</v>
      </c>
      <c r="J473" s="233">
        <f>J474</f>
        <v>1</v>
      </c>
    </row>
    <row r="474" spans="1:10" x14ac:dyDescent="0.25">
      <c r="A474" s="234"/>
      <c r="B474" s="221"/>
      <c r="C474" s="221"/>
      <c r="D474" s="425" t="s">
        <v>353</v>
      </c>
      <c r="E474" s="425"/>
      <c r="F474" s="425"/>
      <c r="G474" s="425"/>
      <c r="H474" s="425"/>
      <c r="I474" s="221" t="s">
        <v>207</v>
      </c>
      <c r="J474" s="239">
        <v>1</v>
      </c>
    </row>
    <row r="475" spans="1:10" x14ac:dyDescent="0.25">
      <c r="A475" s="424"/>
      <c r="B475" s="425"/>
      <c r="C475" s="425"/>
      <c r="D475" s="425"/>
      <c r="E475" s="425"/>
      <c r="F475" s="425"/>
      <c r="G475" s="425"/>
      <c r="H475" s="425"/>
      <c r="I475" s="425"/>
      <c r="J475" s="426"/>
    </row>
    <row r="476" spans="1:10" ht="15" customHeight="1" x14ac:dyDescent="0.25">
      <c r="A476" s="232" t="s">
        <v>228</v>
      </c>
      <c r="B476" s="439" t="s">
        <v>229</v>
      </c>
      <c r="C476" s="439"/>
      <c r="D476" s="433" t="s">
        <v>230</v>
      </c>
      <c r="E476" s="433"/>
      <c r="F476" s="433"/>
      <c r="G476" s="433"/>
      <c r="H476" s="433"/>
      <c r="I476" s="219" t="str">
        <f>I477</f>
        <v>PÇ</v>
      </c>
      <c r="J476" s="233">
        <f>J477</f>
        <v>33</v>
      </c>
    </row>
    <row r="477" spans="1:10" x14ac:dyDescent="0.25">
      <c r="A477" s="234"/>
      <c r="B477" s="221"/>
      <c r="C477" s="221"/>
      <c r="D477" s="425" t="s">
        <v>353</v>
      </c>
      <c r="E477" s="425"/>
      <c r="F477" s="425"/>
      <c r="G477" s="425"/>
      <c r="H477" s="425"/>
      <c r="I477" s="221" t="s">
        <v>207</v>
      </c>
      <c r="J477" s="239">
        <v>33</v>
      </c>
    </row>
    <row r="478" spans="1:10" x14ac:dyDescent="0.25">
      <c r="A478" s="424"/>
      <c r="B478" s="425"/>
      <c r="C478" s="425"/>
      <c r="D478" s="425"/>
      <c r="E478" s="425"/>
      <c r="F478" s="425"/>
      <c r="G478" s="425"/>
      <c r="H478" s="425"/>
      <c r="I478" s="425"/>
      <c r="J478" s="426"/>
    </row>
    <row r="479" spans="1:10" ht="25.5" customHeight="1" x14ac:dyDescent="0.25">
      <c r="A479" s="232" t="s">
        <v>231</v>
      </c>
      <c r="B479" s="219">
        <v>72334</v>
      </c>
      <c r="C479" s="219" t="s">
        <v>95</v>
      </c>
      <c r="D479" s="433" t="s">
        <v>543</v>
      </c>
      <c r="E479" s="433"/>
      <c r="F479" s="433"/>
      <c r="G479" s="433"/>
      <c r="H479" s="433"/>
      <c r="I479" s="219" t="str">
        <f>I480</f>
        <v>PÇ</v>
      </c>
      <c r="J479" s="233">
        <f>J480</f>
        <v>2</v>
      </c>
    </row>
    <row r="480" spans="1:10" x14ac:dyDescent="0.25">
      <c r="A480" s="234"/>
      <c r="B480" s="221"/>
      <c r="C480" s="221"/>
      <c r="D480" s="425" t="s">
        <v>353</v>
      </c>
      <c r="E480" s="425"/>
      <c r="F480" s="425"/>
      <c r="G480" s="425"/>
      <c r="H480" s="425"/>
      <c r="I480" s="221" t="s">
        <v>207</v>
      </c>
      <c r="J480" s="239">
        <v>2</v>
      </c>
    </row>
    <row r="481" spans="1:10" x14ac:dyDescent="0.25">
      <c r="A481" s="424"/>
      <c r="B481" s="425"/>
      <c r="C481" s="425"/>
      <c r="D481" s="425"/>
      <c r="E481" s="425"/>
      <c r="F481" s="425"/>
      <c r="G481" s="425"/>
      <c r="H481" s="425"/>
      <c r="I481" s="425"/>
      <c r="J481" s="426"/>
    </row>
    <row r="482" spans="1:10" ht="22.5" customHeight="1" x14ac:dyDescent="0.25">
      <c r="A482" s="232" t="s">
        <v>232</v>
      </c>
      <c r="B482" s="219">
        <v>72331</v>
      </c>
      <c r="C482" s="219" t="s">
        <v>95</v>
      </c>
      <c r="D482" s="433" t="s">
        <v>544</v>
      </c>
      <c r="E482" s="433"/>
      <c r="F482" s="433"/>
      <c r="G482" s="433"/>
      <c r="H482" s="433"/>
      <c r="I482" s="219" t="str">
        <f>I483</f>
        <v>PÇ</v>
      </c>
      <c r="J482" s="233">
        <f>J483</f>
        <v>4</v>
      </c>
    </row>
    <row r="483" spans="1:10" x14ac:dyDescent="0.25">
      <c r="A483" s="234"/>
      <c r="B483" s="221"/>
      <c r="C483" s="221"/>
      <c r="D483" s="425" t="s">
        <v>353</v>
      </c>
      <c r="E483" s="425"/>
      <c r="F483" s="425"/>
      <c r="G483" s="425"/>
      <c r="H483" s="425"/>
      <c r="I483" s="221" t="s">
        <v>207</v>
      </c>
      <c r="J483" s="239">
        <v>4</v>
      </c>
    </row>
    <row r="484" spans="1:10" x14ac:dyDescent="0.25">
      <c r="A484" s="424"/>
      <c r="B484" s="425"/>
      <c r="C484" s="425"/>
      <c r="D484" s="425"/>
      <c r="E484" s="425"/>
      <c r="F484" s="425"/>
      <c r="G484" s="425"/>
      <c r="H484" s="425"/>
      <c r="I484" s="425"/>
      <c r="J484" s="426"/>
    </row>
    <row r="485" spans="1:10" ht="24" customHeight="1" x14ac:dyDescent="0.25">
      <c r="A485" s="232" t="s">
        <v>233</v>
      </c>
      <c r="B485" s="219">
        <v>83467</v>
      </c>
      <c r="C485" s="219" t="s">
        <v>95</v>
      </c>
      <c r="D485" s="433" t="s">
        <v>545</v>
      </c>
      <c r="E485" s="433"/>
      <c r="F485" s="433"/>
      <c r="G485" s="433"/>
      <c r="H485" s="433"/>
      <c r="I485" s="219" t="str">
        <f>I486</f>
        <v>PÇ</v>
      </c>
      <c r="J485" s="233">
        <f>J486</f>
        <v>2</v>
      </c>
    </row>
    <row r="486" spans="1:10" x14ac:dyDescent="0.25">
      <c r="A486" s="234"/>
      <c r="B486" s="221"/>
      <c r="C486" s="221"/>
      <c r="D486" s="425" t="s">
        <v>353</v>
      </c>
      <c r="E486" s="425"/>
      <c r="F486" s="425"/>
      <c r="G486" s="425"/>
      <c r="H486" s="425"/>
      <c r="I486" s="221" t="s">
        <v>207</v>
      </c>
      <c r="J486" s="239">
        <v>2</v>
      </c>
    </row>
    <row r="487" spans="1:10" x14ac:dyDescent="0.25">
      <c r="A487" s="424"/>
      <c r="B487" s="425"/>
      <c r="C487" s="425"/>
      <c r="D487" s="425"/>
      <c r="E487" s="425"/>
      <c r="F487" s="425"/>
      <c r="G487" s="425"/>
      <c r="H487" s="425"/>
      <c r="I487" s="425"/>
      <c r="J487" s="426"/>
    </row>
    <row r="488" spans="1:10" ht="25.5" customHeight="1" x14ac:dyDescent="0.25">
      <c r="A488" s="232" t="s">
        <v>234</v>
      </c>
      <c r="B488" s="219">
        <v>84227</v>
      </c>
      <c r="C488" s="219" t="s">
        <v>95</v>
      </c>
      <c r="D488" s="433" t="s">
        <v>546</v>
      </c>
      <c r="E488" s="433"/>
      <c r="F488" s="433"/>
      <c r="G488" s="433"/>
      <c r="H488" s="433"/>
      <c r="I488" s="219" t="str">
        <f>I489</f>
        <v>PÇ</v>
      </c>
      <c r="J488" s="233">
        <f>J489</f>
        <v>2</v>
      </c>
    </row>
    <row r="489" spans="1:10" x14ac:dyDescent="0.25">
      <c r="A489" s="234"/>
      <c r="B489" s="221"/>
      <c r="C489" s="221"/>
      <c r="D489" s="425" t="s">
        <v>353</v>
      </c>
      <c r="E489" s="425"/>
      <c r="F489" s="425"/>
      <c r="G489" s="425"/>
      <c r="H489" s="425"/>
      <c r="I489" s="221" t="s">
        <v>207</v>
      </c>
      <c r="J489" s="239">
        <v>2</v>
      </c>
    </row>
    <row r="490" spans="1:10" x14ac:dyDescent="0.25">
      <c r="A490" s="424"/>
      <c r="B490" s="425"/>
      <c r="C490" s="425"/>
      <c r="D490" s="425"/>
      <c r="E490" s="425"/>
      <c r="F490" s="425"/>
      <c r="G490" s="425"/>
      <c r="H490" s="425"/>
      <c r="I490" s="425"/>
      <c r="J490" s="426"/>
    </row>
    <row r="491" spans="1:10" ht="21.75" customHeight="1" x14ac:dyDescent="0.25">
      <c r="A491" s="232" t="s">
        <v>235</v>
      </c>
      <c r="B491" s="219">
        <v>83540</v>
      </c>
      <c r="C491" s="219" t="s">
        <v>95</v>
      </c>
      <c r="D491" s="433" t="s">
        <v>236</v>
      </c>
      <c r="E491" s="433"/>
      <c r="F491" s="433"/>
      <c r="G491" s="433"/>
      <c r="H491" s="433"/>
      <c r="I491" s="219" t="str">
        <f>I492</f>
        <v>PÇ</v>
      </c>
      <c r="J491" s="233">
        <f>J492</f>
        <v>25</v>
      </c>
    </row>
    <row r="492" spans="1:10" x14ac:dyDescent="0.25">
      <c r="A492" s="234"/>
      <c r="B492" s="221"/>
      <c r="C492" s="221"/>
      <c r="D492" s="425" t="s">
        <v>353</v>
      </c>
      <c r="E492" s="425"/>
      <c r="F492" s="425"/>
      <c r="G492" s="425"/>
      <c r="H492" s="425"/>
      <c r="I492" s="221" t="s">
        <v>207</v>
      </c>
      <c r="J492" s="239">
        <v>25</v>
      </c>
    </row>
    <row r="493" spans="1:10" x14ac:dyDescent="0.25">
      <c r="A493" s="424"/>
      <c r="B493" s="425"/>
      <c r="C493" s="425"/>
      <c r="D493" s="425"/>
      <c r="E493" s="425"/>
      <c r="F493" s="425"/>
      <c r="G493" s="425"/>
      <c r="H493" s="425"/>
      <c r="I493" s="425"/>
      <c r="J493" s="426"/>
    </row>
    <row r="494" spans="1:10" ht="15" customHeight="1" x14ac:dyDescent="0.25">
      <c r="A494" s="232" t="s">
        <v>237</v>
      </c>
      <c r="B494" s="439" t="s">
        <v>238</v>
      </c>
      <c r="C494" s="439"/>
      <c r="D494" s="433" t="s">
        <v>239</v>
      </c>
      <c r="E494" s="433"/>
      <c r="F494" s="433"/>
      <c r="G494" s="433"/>
      <c r="H494" s="433"/>
      <c r="I494" s="219" t="str">
        <f>I495</f>
        <v>PÇ</v>
      </c>
      <c r="J494" s="233">
        <f>J495</f>
        <v>4</v>
      </c>
    </row>
    <row r="495" spans="1:10" x14ac:dyDescent="0.25">
      <c r="A495" s="234"/>
      <c r="B495" s="221"/>
      <c r="C495" s="221"/>
      <c r="D495" s="425" t="s">
        <v>353</v>
      </c>
      <c r="E495" s="425"/>
      <c r="F495" s="425"/>
      <c r="G495" s="425"/>
      <c r="H495" s="425"/>
      <c r="I495" s="221" t="s">
        <v>207</v>
      </c>
      <c r="J495" s="239">
        <v>4</v>
      </c>
    </row>
    <row r="496" spans="1:10" x14ac:dyDescent="0.25">
      <c r="A496" s="424"/>
      <c r="B496" s="425"/>
      <c r="C496" s="425"/>
      <c r="D496" s="425"/>
      <c r="E496" s="425"/>
      <c r="F496" s="425"/>
      <c r="G496" s="425"/>
      <c r="H496" s="425"/>
      <c r="I496" s="425"/>
      <c r="J496" s="426"/>
    </row>
    <row r="497" spans="1:10" ht="15" customHeight="1" x14ac:dyDescent="0.25">
      <c r="A497" s="232" t="s">
        <v>240</v>
      </c>
      <c r="B497" s="439" t="s">
        <v>241</v>
      </c>
      <c r="C497" s="439"/>
      <c r="D497" s="433" t="s">
        <v>354</v>
      </c>
      <c r="E497" s="433"/>
      <c r="F497" s="433"/>
      <c r="G497" s="433"/>
      <c r="H497" s="433"/>
      <c r="I497" s="219" t="str">
        <f>I498</f>
        <v>PÇ</v>
      </c>
      <c r="J497" s="233">
        <f>J498</f>
        <v>6</v>
      </c>
    </row>
    <row r="498" spans="1:10" x14ac:dyDescent="0.25">
      <c r="A498" s="234"/>
      <c r="B498" s="221"/>
      <c r="C498" s="221"/>
      <c r="D498" s="425" t="s">
        <v>353</v>
      </c>
      <c r="E498" s="425"/>
      <c r="F498" s="425"/>
      <c r="G498" s="425"/>
      <c r="H498" s="425"/>
      <c r="I498" s="221" t="s">
        <v>207</v>
      </c>
      <c r="J498" s="239">
        <v>6</v>
      </c>
    </row>
    <row r="499" spans="1:10" x14ac:dyDescent="0.25">
      <c r="A499" s="424"/>
      <c r="B499" s="425"/>
      <c r="C499" s="425"/>
      <c r="D499" s="425"/>
      <c r="E499" s="425"/>
      <c r="F499" s="425"/>
      <c r="G499" s="425"/>
      <c r="H499" s="425"/>
      <c r="I499" s="425"/>
      <c r="J499" s="426"/>
    </row>
    <row r="500" spans="1:10" ht="33" customHeight="1" x14ac:dyDescent="0.25">
      <c r="A500" s="232" t="s">
        <v>243</v>
      </c>
      <c r="B500" s="219" t="s">
        <v>244</v>
      </c>
      <c r="C500" s="219" t="s">
        <v>95</v>
      </c>
      <c r="D500" s="433" t="s">
        <v>245</v>
      </c>
      <c r="E500" s="433"/>
      <c r="F500" s="433"/>
      <c r="G500" s="433"/>
      <c r="H500" s="433"/>
      <c r="I500" s="219" t="str">
        <f>I501</f>
        <v>m</v>
      </c>
      <c r="J500" s="233">
        <f>J501</f>
        <v>1148.8</v>
      </c>
    </row>
    <row r="501" spans="1:10" x14ac:dyDescent="0.25">
      <c r="A501" s="234"/>
      <c r="B501" s="221"/>
      <c r="C501" s="221"/>
      <c r="D501" s="425" t="s">
        <v>353</v>
      </c>
      <c r="E501" s="425"/>
      <c r="F501" s="425"/>
      <c r="G501" s="425"/>
      <c r="H501" s="425"/>
      <c r="I501" s="221" t="s">
        <v>215</v>
      </c>
      <c r="J501" s="239">
        <v>1148.8</v>
      </c>
    </row>
    <row r="502" spans="1:10" x14ac:dyDescent="0.25">
      <c r="A502" s="424"/>
      <c r="B502" s="425"/>
      <c r="C502" s="425"/>
      <c r="D502" s="425"/>
      <c r="E502" s="425"/>
      <c r="F502" s="425"/>
      <c r="G502" s="425"/>
      <c r="H502" s="425"/>
      <c r="I502" s="425"/>
      <c r="J502" s="426"/>
    </row>
    <row r="503" spans="1:10" ht="34.5" customHeight="1" x14ac:dyDescent="0.25">
      <c r="A503" s="232" t="s">
        <v>246</v>
      </c>
      <c r="B503" s="219" t="s">
        <v>247</v>
      </c>
      <c r="C503" s="219" t="s">
        <v>95</v>
      </c>
      <c r="D503" s="433" t="s">
        <v>248</v>
      </c>
      <c r="E503" s="433"/>
      <c r="F503" s="433"/>
      <c r="G503" s="433"/>
      <c r="H503" s="433"/>
      <c r="I503" s="219" t="str">
        <f>I504</f>
        <v>m</v>
      </c>
      <c r="J503" s="233">
        <f>J504</f>
        <v>50.4</v>
      </c>
    </row>
    <row r="504" spans="1:10" x14ac:dyDescent="0.25">
      <c r="A504" s="234"/>
      <c r="B504" s="221"/>
      <c r="C504" s="221"/>
      <c r="D504" s="425" t="s">
        <v>353</v>
      </c>
      <c r="E504" s="425"/>
      <c r="F504" s="425"/>
      <c r="G504" s="425"/>
      <c r="H504" s="425"/>
      <c r="I504" s="221" t="s">
        <v>215</v>
      </c>
      <c r="J504" s="239">
        <v>50.4</v>
      </c>
    </row>
    <row r="505" spans="1:10" x14ac:dyDescent="0.25">
      <c r="A505" s="424"/>
      <c r="B505" s="425"/>
      <c r="C505" s="425"/>
      <c r="D505" s="425"/>
      <c r="E505" s="425"/>
      <c r="F505" s="425"/>
      <c r="G505" s="425"/>
      <c r="H505" s="425"/>
      <c r="I505" s="425"/>
      <c r="J505" s="426"/>
    </row>
    <row r="506" spans="1:10" ht="25.5" customHeight="1" x14ac:dyDescent="0.25">
      <c r="A506" s="232" t="s">
        <v>249</v>
      </c>
      <c r="B506" s="219" t="s">
        <v>250</v>
      </c>
      <c r="C506" s="219" t="s">
        <v>95</v>
      </c>
      <c r="D506" s="433" t="s">
        <v>251</v>
      </c>
      <c r="E506" s="433"/>
      <c r="F506" s="433"/>
      <c r="G506" s="433"/>
      <c r="H506" s="433"/>
      <c r="I506" s="219" t="str">
        <f>I507</f>
        <v>PÇ</v>
      </c>
      <c r="J506" s="233">
        <f>J507</f>
        <v>8</v>
      </c>
    </row>
    <row r="507" spans="1:10" x14ac:dyDescent="0.25">
      <c r="A507" s="234"/>
      <c r="B507" s="221"/>
      <c r="C507" s="221"/>
      <c r="D507" s="425" t="s">
        <v>353</v>
      </c>
      <c r="E507" s="425"/>
      <c r="F507" s="425"/>
      <c r="G507" s="425"/>
      <c r="H507" s="425"/>
      <c r="I507" s="221" t="s">
        <v>207</v>
      </c>
      <c r="J507" s="239">
        <v>8</v>
      </c>
    </row>
    <row r="508" spans="1:10" x14ac:dyDescent="0.25">
      <c r="A508" s="424"/>
      <c r="B508" s="425"/>
      <c r="C508" s="425"/>
      <c r="D508" s="425"/>
      <c r="E508" s="425"/>
      <c r="F508" s="425"/>
      <c r="G508" s="425"/>
      <c r="H508" s="425"/>
      <c r="I508" s="425"/>
      <c r="J508" s="426"/>
    </row>
    <row r="509" spans="1:10" ht="23.25" customHeight="1" x14ac:dyDescent="0.25">
      <c r="A509" s="232" t="s">
        <v>252</v>
      </c>
      <c r="B509" s="439" t="s">
        <v>253</v>
      </c>
      <c r="C509" s="439"/>
      <c r="D509" s="433" t="s">
        <v>254</v>
      </c>
      <c r="E509" s="433"/>
      <c r="F509" s="433"/>
      <c r="G509" s="433"/>
      <c r="H509" s="433"/>
      <c r="I509" s="219" t="str">
        <f>I510</f>
        <v>PÇ</v>
      </c>
      <c r="J509" s="233">
        <f>J510</f>
        <v>12</v>
      </c>
    </row>
    <row r="510" spans="1:10" x14ac:dyDescent="0.25">
      <c r="A510" s="234"/>
      <c r="B510" s="221"/>
      <c r="C510" s="221"/>
      <c r="D510" s="425" t="s">
        <v>353</v>
      </c>
      <c r="E510" s="425"/>
      <c r="F510" s="425"/>
      <c r="G510" s="425"/>
      <c r="H510" s="425"/>
      <c r="I510" s="221" t="s">
        <v>207</v>
      </c>
      <c r="J510" s="239">
        <v>12</v>
      </c>
    </row>
    <row r="511" spans="1:10" x14ac:dyDescent="0.25">
      <c r="A511" s="424"/>
      <c r="B511" s="425"/>
      <c r="C511" s="425"/>
      <c r="D511" s="425"/>
      <c r="E511" s="425"/>
      <c r="F511" s="425"/>
      <c r="G511" s="425"/>
      <c r="H511" s="425"/>
      <c r="I511" s="425"/>
      <c r="J511" s="426"/>
    </row>
    <row r="512" spans="1:10" ht="49.5" customHeight="1" x14ac:dyDescent="0.25">
      <c r="A512" s="232" t="s">
        <v>255</v>
      </c>
      <c r="B512" s="439" t="s">
        <v>256</v>
      </c>
      <c r="C512" s="439"/>
      <c r="D512" s="433" t="s">
        <v>257</v>
      </c>
      <c r="E512" s="433"/>
      <c r="F512" s="433"/>
      <c r="G512" s="433"/>
      <c r="H512" s="433"/>
      <c r="I512" s="219" t="str">
        <f>I513</f>
        <v>PÇ</v>
      </c>
      <c r="J512" s="233">
        <f>J513</f>
        <v>1</v>
      </c>
    </row>
    <row r="513" spans="1:10" x14ac:dyDescent="0.25">
      <c r="A513" s="234"/>
      <c r="B513" s="221"/>
      <c r="C513" s="221"/>
      <c r="D513" s="425" t="s">
        <v>353</v>
      </c>
      <c r="E513" s="425"/>
      <c r="F513" s="425"/>
      <c r="G513" s="425"/>
      <c r="H513" s="425"/>
      <c r="I513" s="221" t="s">
        <v>207</v>
      </c>
      <c r="J513" s="239">
        <v>1</v>
      </c>
    </row>
    <row r="514" spans="1:10" x14ac:dyDescent="0.25">
      <c r="A514" s="424"/>
      <c r="B514" s="425"/>
      <c r="C514" s="425"/>
      <c r="D514" s="425"/>
      <c r="E514" s="425"/>
      <c r="F514" s="425"/>
      <c r="G514" s="425"/>
      <c r="H514" s="425"/>
      <c r="I514" s="425"/>
      <c r="J514" s="426"/>
    </row>
    <row r="515" spans="1:10" ht="24.75" customHeight="1" x14ac:dyDescent="0.25">
      <c r="A515" s="232" t="s">
        <v>258</v>
      </c>
      <c r="B515" s="219" t="s">
        <v>259</v>
      </c>
      <c r="C515" s="219" t="s">
        <v>95</v>
      </c>
      <c r="D515" s="433" t="s">
        <v>568</v>
      </c>
      <c r="E515" s="433"/>
      <c r="F515" s="433"/>
      <c r="G515" s="433"/>
      <c r="H515" s="433"/>
      <c r="I515" s="219" t="str">
        <f>I516</f>
        <v>PÇ</v>
      </c>
      <c r="J515" s="233">
        <f>J516</f>
        <v>1</v>
      </c>
    </row>
    <row r="516" spans="1:10" x14ac:dyDescent="0.25">
      <c r="A516" s="234"/>
      <c r="B516" s="221"/>
      <c r="C516" s="221"/>
      <c r="D516" s="425" t="s">
        <v>353</v>
      </c>
      <c r="E516" s="425"/>
      <c r="F516" s="425"/>
      <c r="G516" s="425"/>
      <c r="H516" s="425"/>
      <c r="I516" s="221" t="s">
        <v>207</v>
      </c>
      <c r="J516" s="239">
        <v>1</v>
      </c>
    </row>
    <row r="517" spans="1:10" x14ac:dyDescent="0.25">
      <c r="A517" s="424"/>
      <c r="B517" s="425"/>
      <c r="C517" s="425"/>
      <c r="D517" s="425"/>
      <c r="E517" s="425"/>
      <c r="F517" s="425"/>
      <c r="G517" s="425"/>
      <c r="H517" s="425"/>
      <c r="I517" s="425"/>
      <c r="J517" s="426"/>
    </row>
    <row r="518" spans="1:10" ht="35.25" customHeight="1" x14ac:dyDescent="0.25">
      <c r="A518" s="232" t="s">
        <v>260</v>
      </c>
      <c r="B518" s="219">
        <v>72253</v>
      </c>
      <c r="C518" s="219" t="s">
        <v>95</v>
      </c>
      <c r="D518" s="433" t="s">
        <v>261</v>
      </c>
      <c r="E518" s="433"/>
      <c r="F518" s="433"/>
      <c r="G518" s="433"/>
      <c r="H518" s="433"/>
      <c r="I518" s="219" t="str">
        <f>I519</f>
        <v>m</v>
      </c>
      <c r="J518" s="233">
        <f>J519</f>
        <v>110</v>
      </c>
    </row>
    <row r="519" spans="1:10" x14ac:dyDescent="0.25">
      <c r="A519" s="234"/>
      <c r="B519" s="221"/>
      <c r="C519" s="221"/>
      <c r="D519" s="425" t="s">
        <v>353</v>
      </c>
      <c r="E519" s="425"/>
      <c r="F519" s="425"/>
      <c r="G519" s="425"/>
      <c r="H519" s="425"/>
      <c r="I519" s="221" t="s">
        <v>215</v>
      </c>
      <c r="J519" s="239">
        <v>110</v>
      </c>
    </row>
    <row r="520" spans="1:10" x14ac:dyDescent="0.25">
      <c r="A520" s="424"/>
      <c r="B520" s="425"/>
      <c r="C520" s="425"/>
      <c r="D520" s="425"/>
      <c r="E520" s="425"/>
      <c r="F520" s="425"/>
      <c r="G520" s="425"/>
      <c r="H520" s="425"/>
      <c r="I520" s="425"/>
      <c r="J520" s="426"/>
    </row>
    <row r="521" spans="1:10" ht="35.25" customHeight="1" x14ac:dyDescent="0.25">
      <c r="A521" s="232" t="s">
        <v>262</v>
      </c>
      <c r="B521" s="219">
        <v>72254</v>
      </c>
      <c r="C521" s="219" t="s">
        <v>95</v>
      </c>
      <c r="D521" s="433" t="s">
        <v>263</v>
      </c>
      <c r="E521" s="433"/>
      <c r="F521" s="433"/>
      <c r="G521" s="433"/>
      <c r="H521" s="433"/>
      <c r="I521" s="219" t="str">
        <f>I522</f>
        <v>m</v>
      </c>
      <c r="J521" s="233">
        <f>J522</f>
        <v>80</v>
      </c>
    </row>
    <row r="522" spans="1:10" x14ac:dyDescent="0.25">
      <c r="A522" s="234"/>
      <c r="B522" s="221"/>
      <c r="C522" s="221"/>
      <c r="D522" s="425" t="s">
        <v>353</v>
      </c>
      <c r="E522" s="425"/>
      <c r="F522" s="425"/>
      <c r="G522" s="425"/>
      <c r="H522" s="425"/>
      <c r="I522" s="221" t="s">
        <v>215</v>
      </c>
      <c r="J522" s="239">
        <v>80</v>
      </c>
    </row>
    <row r="523" spans="1:10" x14ac:dyDescent="0.25">
      <c r="A523" s="424"/>
      <c r="B523" s="425"/>
      <c r="C523" s="425"/>
      <c r="D523" s="425"/>
      <c r="E523" s="425"/>
      <c r="F523" s="425"/>
      <c r="G523" s="425"/>
      <c r="H523" s="425"/>
      <c r="I523" s="425"/>
      <c r="J523" s="426"/>
    </row>
    <row r="524" spans="1:10" ht="38.25" customHeight="1" x14ac:dyDescent="0.25">
      <c r="A524" s="232" t="s">
        <v>264</v>
      </c>
      <c r="B524" s="439" t="s">
        <v>265</v>
      </c>
      <c r="C524" s="439"/>
      <c r="D524" s="433" t="s">
        <v>266</v>
      </c>
      <c r="E524" s="433"/>
      <c r="F524" s="433"/>
      <c r="G524" s="433"/>
      <c r="H524" s="433"/>
      <c r="I524" s="219" t="str">
        <f>I525</f>
        <v>PÇ</v>
      </c>
      <c r="J524" s="233">
        <f>J525</f>
        <v>22</v>
      </c>
    </row>
    <row r="525" spans="1:10" x14ac:dyDescent="0.25">
      <c r="A525" s="234"/>
      <c r="B525" s="221"/>
      <c r="C525" s="221"/>
      <c r="D525" s="425" t="s">
        <v>353</v>
      </c>
      <c r="E525" s="425"/>
      <c r="F525" s="425"/>
      <c r="G525" s="425"/>
      <c r="H525" s="425"/>
      <c r="I525" s="221" t="s">
        <v>207</v>
      </c>
      <c r="J525" s="239">
        <v>22</v>
      </c>
    </row>
    <row r="526" spans="1:10" x14ac:dyDescent="0.25">
      <c r="A526" s="424"/>
      <c r="B526" s="425"/>
      <c r="C526" s="425"/>
      <c r="D526" s="425"/>
      <c r="E526" s="425"/>
      <c r="F526" s="425"/>
      <c r="G526" s="425"/>
      <c r="H526" s="425"/>
      <c r="I526" s="425"/>
      <c r="J526" s="426"/>
    </row>
    <row r="527" spans="1:10" ht="30.75" customHeight="1" x14ac:dyDescent="0.25">
      <c r="A527" s="232" t="s">
        <v>267</v>
      </c>
      <c r="B527" s="439" t="s">
        <v>268</v>
      </c>
      <c r="C527" s="439"/>
      <c r="D527" s="433" t="s">
        <v>269</v>
      </c>
      <c r="E527" s="433"/>
      <c r="F527" s="433"/>
      <c r="G527" s="433"/>
      <c r="H527" s="433"/>
      <c r="I527" s="219" t="str">
        <f>I528</f>
        <v>PÇ</v>
      </c>
      <c r="J527" s="233">
        <f>J528</f>
        <v>21</v>
      </c>
    </row>
    <row r="528" spans="1:10" x14ac:dyDescent="0.25">
      <c r="A528" s="234"/>
      <c r="B528" s="221"/>
      <c r="C528" s="221"/>
      <c r="D528" s="425" t="s">
        <v>353</v>
      </c>
      <c r="E528" s="425"/>
      <c r="F528" s="425"/>
      <c r="G528" s="425"/>
      <c r="H528" s="425"/>
      <c r="I528" s="221" t="s">
        <v>207</v>
      </c>
      <c r="J528" s="239">
        <v>21</v>
      </c>
    </row>
    <row r="529" spans="1:10" x14ac:dyDescent="0.25">
      <c r="A529" s="424"/>
      <c r="B529" s="425"/>
      <c r="C529" s="425"/>
      <c r="D529" s="425"/>
      <c r="E529" s="425"/>
      <c r="F529" s="425"/>
      <c r="G529" s="425"/>
      <c r="H529" s="425"/>
      <c r="I529" s="425"/>
      <c r="J529" s="426"/>
    </row>
    <row r="530" spans="1:10" ht="15" customHeight="1" x14ac:dyDescent="0.25">
      <c r="A530" s="232" t="s">
        <v>270</v>
      </c>
      <c r="B530" s="439" t="s">
        <v>271</v>
      </c>
      <c r="C530" s="439"/>
      <c r="D530" s="433" t="s">
        <v>272</v>
      </c>
      <c r="E530" s="433"/>
      <c r="F530" s="433"/>
      <c r="G530" s="433"/>
      <c r="H530" s="433"/>
      <c r="I530" s="219" t="str">
        <f>I531</f>
        <v>PÇ</v>
      </c>
      <c r="J530" s="233">
        <f>J531</f>
        <v>100</v>
      </c>
    </row>
    <row r="531" spans="1:10" x14ac:dyDescent="0.25">
      <c r="A531" s="234"/>
      <c r="B531" s="221"/>
      <c r="C531" s="221"/>
      <c r="D531" s="425" t="s">
        <v>353</v>
      </c>
      <c r="E531" s="425"/>
      <c r="F531" s="425"/>
      <c r="G531" s="425"/>
      <c r="H531" s="425"/>
      <c r="I531" s="221" t="s">
        <v>207</v>
      </c>
      <c r="J531" s="239">
        <v>100</v>
      </c>
    </row>
    <row r="532" spans="1:10" x14ac:dyDescent="0.25">
      <c r="A532" s="424"/>
      <c r="B532" s="425"/>
      <c r="C532" s="425"/>
      <c r="D532" s="425"/>
      <c r="E532" s="425"/>
      <c r="F532" s="425"/>
      <c r="G532" s="425"/>
      <c r="H532" s="425"/>
      <c r="I532" s="425"/>
      <c r="J532" s="426"/>
    </row>
    <row r="533" spans="1:10" ht="27" customHeight="1" x14ac:dyDescent="0.25">
      <c r="A533" s="232" t="s">
        <v>273</v>
      </c>
      <c r="B533" s="439" t="s">
        <v>274</v>
      </c>
      <c r="C533" s="439"/>
      <c r="D533" s="433" t="s">
        <v>275</v>
      </c>
      <c r="E533" s="433"/>
      <c r="F533" s="433"/>
      <c r="G533" s="433"/>
      <c r="H533" s="433"/>
      <c r="I533" s="219" t="str">
        <f>I534</f>
        <v>PÇ</v>
      </c>
      <c r="J533" s="233">
        <f>J534</f>
        <v>4</v>
      </c>
    </row>
    <row r="534" spans="1:10" x14ac:dyDescent="0.25">
      <c r="A534" s="234"/>
      <c r="B534" s="221"/>
      <c r="C534" s="221"/>
      <c r="D534" s="425" t="s">
        <v>353</v>
      </c>
      <c r="E534" s="425"/>
      <c r="F534" s="425"/>
      <c r="G534" s="425"/>
      <c r="H534" s="425"/>
      <c r="I534" s="221" t="s">
        <v>207</v>
      </c>
      <c r="J534" s="239">
        <v>4</v>
      </c>
    </row>
    <row r="535" spans="1:10" x14ac:dyDescent="0.25">
      <c r="A535" s="424"/>
      <c r="B535" s="425"/>
      <c r="C535" s="425"/>
      <c r="D535" s="425"/>
      <c r="E535" s="425"/>
      <c r="F535" s="425"/>
      <c r="G535" s="425"/>
      <c r="H535" s="425"/>
      <c r="I535" s="425"/>
      <c r="J535" s="426"/>
    </row>
    <row r="536" spans="1:10" s="27" customFormat="1" ht="35.25" customHeight="1" x14ac:dyDescent="0.25">
      <c r="A536" s="232" t="s">
        <v>503</v>
      </c>
      <c r="B536" s="439" t="s">
        <v>212</v>
      </c>
      <c r="C536" s="439"/>
      <c r="D536" s="433" t="s">
        <v>447</v>
      </c>
      <c r="E536" s="433"/>
      <c r="F536" s="433"/>
      <c r="G536" s="433"/>
      <c r="H536" s="433"/>
      <c r="I536" s="219" t="s">
        <v>459</v>
      </c>
      <c r="J536" s="233">
        <f>J537</f>
        <v>1</v>
      </c>
    </row>
    <row r="537" spans="1:10" s="27" customFormat="1" x14ac:dyDescent="0.25">
      <c r="A537" s="234"/>
      <c r="B537" s="221"/>
      <c r="C537" s="221"/>
      <c r="D537" s="425" t="s">
        <v>353</v>
      </c>
      <c r="E537" s="425"/>
      <c r="F537" s="425"/>
      <c r="G537" s="425"/>
      <c r="H537" s="425"/>
      <c r="I537" s="221"/>
      <c r="J537" s="239">
        <v>1</v>
      </c>
    </row>
    <row r="538" spans="1:10" s="27" customFormat="1" x14ac:dyDescent="0.25">
      <c r="A538" s="424"/>
      <c r="B538" s="425"/>
      <c r="C538" s="425"/>
      <c r="D538" s="425"/>
      <c r="E538" s="425"/>
      <c r="F538" s="425"/>
      <c r="G538" s="425"/>
      <c r="H538" s="425"/>
      <c r="I538" s="425"/>
      <c r="J538" s="426"/>
    </row>
    <row r="539" spans="1:10" x14ac:dyDescent="0.25">
      <c r="A539" s="231" t="s">
        <v>276</v>
      </c>
      <c r="B539" s="430" t="s">
        <v>277</v>
      </c>
      <c r="C539" s="430"/>
      <c r="D539" s="430"/>
      <c r="E539" s="430"/>
      <c r="F539" s="430"/>
      <c r="G539" s="430"/>
      <c r="H539" s="430"/>
      <c r="I539" s="430"/>
      <c r="J539" s="431"/>
    </row>
    <row r="540" spans="1:10" x14ac:dyDescent="0.25">
      <c r="A540" s="424"/>
      <c r="B540" s="425"/>
      <c r="C540" s="425"/>
      <c r="D540" s="425"/>
      <c r="E540" s="425"/>
      <c r="F540" s="425"/>
      <c r="G540" s="425"/>
      <c r="H540" s="425"/>
      <c r="I540" s="425"/>
      <c r="J540" s="426"/>
    </row>
    <row r="541" spans="1:10" ht="43.5" customHeight="1" x14ac:dyDescent="0.25">
      <c r="A541" s="232" t="s">
        <v>278</v>
      </c>
      <c r="B541" s="219">
        <v>86932</v>
      </c>
      <c r="C541" s="219" t="s">
        <v>95</v>
      </c>
      <c r="D541" s="433" t="s">
        <v>548</v>
      </c>
      <c r="E541" s="433"/>
      <c r="F541" s="433"/>
      <c r="G541" s="433"/>
      <c r="H541" s="433"/>
      <c r="I541" s="219" t="str">
        <f>I542</f>
        <v>PÇ</v>
      </c>
      <c r="J541" s="233">
        <f>J542</f>
        <v>4</v>
      </c>
    </row>
    <row r="542" spans="1:10" x14ac:dyDescent="0.25">
      <c r="A542" s="234"/>
      <c r="B542" s="221"/>
      <c r="C542" s="221"/>
      <c r="D542" s="425" t="s">
        <v>346</v>
      </c>
      <c r="E542" s="425"/>
      <c r="F542" s="425"/>
      <c r="G542" s="425"/>
      <c r="H542" s="425"/>
      <c r="I542" s="221" t="s">
        <v>207</v>
      </c>
      <c r="J542" s="239">
        <v>4</v>
      </c>
    </row>
    <row r="543" spans="1:10" x14ac:dyDescent="0.25">
      <c r="A543" s="424"/>
      <c r="B543" s="425"/>
      <c r="C543" s="425"/>
      <c r="D543" s="425"/>
      <c r="E543" s="425"/>
      <c r="F543" s="425"/>
      <c r="G543" s="425"/>
      <c r="H543" s="425"/>
      <c r="I543" s="425"/>
      <c r="J543" s="426"/>
    </row>
    <row r="544" spans="1:10" ht="29.25" customHeight="1" x14ac:dyDescent="0.25">
      <c r="A544" s="232" t="s">
        <v>279</v>
      </c>
      <c r="B544" s="219">
        <v>11693</v>
      </c>
      <c r="C544" s="219" t="s">
        <v>95</v>
      </c>
      <c r="D544" s="433" t="s">
        <v>549</v>
      </c>
      <c r="E544" s="433"/>
      <c r="F544" s="433"/>
      <c r="G544" s="433"/>
      <c r="H544" s="433"/>
      <c r="I544" s="219" t="str">
        <f>I545</f>
        <v>m²</v>
      </c>
      <c r="J544" s="233">
        <f>J545</f>
        <v>2.04</v>
      </c>
    </row>
    <row r="545" spans="1:10" x14ac:dyDescent="0.25">
      <c r="A545" s="234"/>
      <c r="B545" s="221"/>
      <c r="C545" s="221"/>
      <c r="D545" s="425" t="s">
        <v>346</v>
      </c>
      <c r="E545" s="425"/>
      <c r="F545" s="425"/>
      <c r="G545" s="425"/>
      <c r="H545" s="425"/>
      <c r="I545" s="221" t="s">
        <v>284</v>
      </c>
      <c r="J545" s="239">
        <v>2.04</v>
      </c>
    </row>
    <row r="546" spans="1:10" x14ac:dyDescent="0.25">
      <c r="A546" s="424"/>
      <c r="B546" s="425"/>
      <c r="C546" s="425"/>
      <c r="D546" s="425"/>
      <c r="E546" s="425"/>
      <c r="F546" s="425"/>
      <c r="G546" s="425"/>
      <c r="H546" s="425"/>
      <c r="I546" s="425"/>
      <c r="J546" s="426"/>
    </row>
    <row r="547" spans="1:10" ht="29.25" customHeight="1" x14ac:dyDescent="0.25">
      <c r="A547" s="232" t="s">
        <v>280</v>
      </c>
      <c r="B547" s="219">
        <v>1747</v>
      </c>
      <c r="C547" s="219" t="s">
        <v>95</v>
      </c>
      <c r="D547" s="433" t="s">
        <v>569</v>
      </c>
      <c r="E547" s="433"/>
      <c r="F547" s="433"/>
      <c r="G547" s="433"/>
      <c r="H547" s="433"/>
      <c r="I547" s="219" t="str">
        <f>I548</f>
        <v>PÇ</v>
      </c>
      <c r="J547" s="233">
        <f>J548</f>
        <v>1</v>
      </c>
    </row>
    <row r="548" spans="1:10" x14ac:dyDescent="0.25">
      <c r="A548" s="234"/>
      <c r="B548" s="221"/>
      <c r="C548" s="221"/>
      <c r="D548" s="425" t="s">
        <v>346</v>
      </c>
      <c r="E548" s="425"/>
      <c r="F548" s="425"/>
      <c r="G548" s="425"/>
      <c r="H548" s="425"/>
      <c r="I548" s="221" t="s">
        <v>207</v>
      </c>
      <c r="J548" s="239">
        <v>1</v>
      </c>
    </row>
    <row r="549" spans="1:10" x14ac:dyDescent="0.25">
      <c r="A549" s="424"/>
      <c r="B549" s="425"/>
      <c r="C549" s="425"/>
      <c r="D549" s="425"/>
      <c r="E549" s="425"/>
      <c r="F549" s="425"/>
      <c r="G549" s="425"/>
      <c r="H549" s="425"/>
      <c r="I549" s="425"/>
      <c r="J549" s="426"/>
    </row>
    <row r="550" spans="1:10" ht="29.25" customHeight="1" x14ac:dyDescent="0.25">
      <c r="A550" s="232" t="s">
        <v>281</v>
      </c>
      <c r="B550" s="219">
        <v>1370</v>
      </c>
      <c r="C550" s="219" t="s">
        <v>95</v>
      </c>
      <c r="D550" s="433" t="s">
        <v>550</v>
      </c>
      <c r="E550" s="433"/>
      <c r="F550" s="433"/>
      <c r="G550" s="433"/>
      <c r="H550" s="433"/>
      <c r="I550" s="219" t="str">
        <f>I551</f>
        <v>PÇ</v>
      </c>
      <c r="J550" s="233">
        <f>J551</f>
        <v>4</v>
      </c>
    </row>
    <row r="551" spans="1:10" x14ac:dyDescent="0.25">
      <c r="A551" s="234"/>
      <c r="B551" s="221"/>
      <c r="C551" s="221"/>
      <c r="D551" s="425" t="s">
        <v>346</v>
      </c>
      <c r="E551" s="425"/>
      <c r="F551" s="425"/>
      <c r="G551" s="425"/>
      <c r="H551" s="425"/>
      <c r="I551" s="221" t="s">
        <v>207</v>
      </c>
      <c r="J551" s="239">
        <v>4</v>
      </c>
    </row>
    <row r="552" spans="1:10" x14ac:dyDescent="0.25">
      <c r="A552" s="424"/>
      <c r="B552" s="425"/>
      <c r="C552" s="425"/>
      <c r="D552" s="425"/>
      <c r="E552" s="425"/>
      <c r="F552" s="425"/>
      <c r="G552" s="425"/>
      <c r="H552" s="425"/>
      <c r="I552" s="425"/>
      <c r="J552" s="426"/>
    </row>
    <row r="553" spans="1:10" ht="29.25" customHeight="1" x14ac:dyDescent="0.25">
      <c r="A553" s="232" t="s">
        <v>282</v>
      </c>
      <c r="B553" s="219">
        <v>11696</v>
      </c>
      <c r="C553" s="219" t="s">
        <v>95</v>
      </c>
      <c r="D553" s="433" t="s">
        <v>551</v>
      </c>
      <c r="E553" s="433"/>
      <c r="F553" s="433"/>
      <c r="G553" s="433"/>
      <c r="H553" s="433"/>
      <c r="I553" s="219" t="str">
        <f>I554</f>
        <v>PÇ</v>
      </c>
      <c r="J553" s="233">
        <f>J554</f>
        <v>4</v>
      </c>
    </row>
    <row r="554" spans="1:10" x14ac:dyDescent="0.25">
      <c r="A554" s="234"/>
      <c r="B554" s="221"/>
      <c r="C554" s="221"/>
      <c r="D554" s="425" t="s">
        <v>346</v>
      </c>
      <c r="E554" s="425"/>
      <c r="F554" s="425"/>
      <c r="G554" s="425"/>
      <c r="H554" s="425"/>
      <c r="I554" s="221" t="s">
        <v>207</v>
      </c>
      <c r="J554" s="239">
        <v>4</v>
      </c>
    </row>
    <row r="555" spans="1:10" x14ac:dyDescent="0.25">
      <c r="A555" s="424"/>
      <c r="B555" s="425"/>
      <c r="C555" s="425"/>
      <c r="D555" s="425"/>
      <c r="E555" s="425"/>
      <c r="F555" s="425"/>
      <c r="G555" s="425"/>
      <c r="H555" s="425"/>
      <c r="I555" s="425"/>
      <c r="J555" s="426"/>
    </row>
    <row r="556" spans="1:10" ht="15" customHeight="1" x14ac:dyDescent="0.25">
      <c r="A556" s="232" t="s">
        <v>283</v>
      </c>
      <c r="B556" s="219">
        <v>11692</v>
      </c>
      <c r="C556" s="219" t="s">
        <v>95</v>
      </c>
      <c r="D556" s="433" t="s">
        <v>552</v>
      </c>
      <c r="E556" s="433"/>
      <c r="F556" s="433"/>
      <c r="G556" s="433"/>
      <c r="H556" s="433"/>
      <c r="I556" s="219" t="str">
        <f>I557</f>
        <v>m²</v>
      </c>
      <c r="J556" s="233">
        <f>J557</f>
        <v>1.4</v>
      </c>
    </row>
    <row r="557" spans="1:10" x14ac:dyDescent="0.25">
      <c r="A557" s="234"/>
      <c r="B557" s="221"/>
      <c r="C557" s="221"/>
      <c r="D557" s="425" t="s">
        <v>346</v>
      </c>
      <c r="E557" s="425"/>
      <c r="F557" s="425"/>
      <c r="G557" s="425"/>
      <c r="H557" s="425"/>
      <c r="I557" s="221" t="s">
        <v>284</v>
      </c>
      <c r="J557" s="239">
        <v>1.4</v>
      </c>
    </row>
    <row r="558" spans="1:10" x14ac:dyDescent="0.25">
      <c r="A558" s="424"/>
      <c r="B558" s="425"/>
      <c r="C558" s="425"/>
      <c r="D558" s="425"/>
      <c r="E558" s="425"/>
      <c r="F558" s="425"/>
      <c r="G558" s="425"/>
      <c r="H558" s="425"/>
      <c r="I558" s="425"/>
      <c r="J558" s="426"/>
    </row>
    <row r="559" spans="1:10" ht="36.75" customHeight="1" x14ac:dyDescent="0.25">
      <c r="A559" s="232" t="s">
        <v>285</v>
      </c>
      <c r="B559" s="219" t="s">
        <v>356</v>
      </c>
      <c r="C559" s="219" t="s">
        <v>95</v>
      </c>
      <c r="D559" s="433" t="s">
        <v>553</v>
      </c>
      <c r="E559" s="433"/>
      <c r="F559" s="433"/>
      <c r="G559" s="433"/>
      <c r="H559" s="433"/>
      <c r="I559" s="219" t="str">
        <f>I560</f>
        <v>PÇ</v>
      </c>
      <c r="J559" s="233">
        <f>J560</f>
        <v>1</v>
      </c>
    </row>
    <row r="560" spans="1:10" x14ac:dyDescent="0.25">
      <c r="A560" s="234"/>
      <c r="B560" s="221"/>
      <c r="C560" s="221"/>
      <c r="D560" s="425" t="s">
        <v>346</v>
      </c>
      <c r="E560" s="425"/>
      <c r="F560" s="425"/>
      <c r="G560" s="425"/>
      <c r="H560" s="425"/>
      <c r="I560" s="221" t="s">
        <v>207</v>
      </c>
      <c r="J560" s="239">
        <v>1</v>
      </c>
    </row>
    <row r="561" spans="1:10" x14ac:dyDescent="0.25">
      <c r="A561" s="424"/>
      <c r="B561" s="425"/>
      <c r="C561" s="425"/>
      <c r="D561" s="425"/>
      <c r="E561" s="425"/>
      <c r="F561" s="425"/>
      <c r="G561" s="425"/>
      <c r="H561" s="425"/>
      <c r="I561" s="425"/>
      <c r="J561" s="426"/>
    </row>
    <row r="562" spans="1:10" ht="29.25" customHeight="1" x14ac:dyDescent="0.25">
      <c r="A562" s="232" t="s">
        <v>286</v>
      </c>
      <c r="B562" s="219">
        <v>86906</v>
      </c>
      <c r="C562" s="219" t="s">
        <v>95</v>
      </c>
      <c r="D562" s="433" t="s">
        <v>357</v>
      </c>
      <c r="E562" s="433"/>
      <c r="F562" s="433"/>
      <c r="G562" s="433"/>
      <c r="H562" s="433"/>
      <c r="I562" s="219" t="str">
        <f>I563</f>
        <v>PÇ</v>
      </c>
      <c r="J562" s="233">
        <f>J563</f>
        <v>4</v>
      </c>
    </row>
    <row r="563" spans="1:10" x14ac:dyDescent="0.25">
      <c r="A563" s="234"/>
      <c r="B563" s="221"/>
      <c r="C563" s="221"/>
      <c r="D563" s="425" t="s">
        <v>346</v>
      </c>
      <c r="E563" s="425"/>
      <c r="F563" s="425"/>
      <c r="G563" s="425"/>
      <c r="H563" s="425"/>
      <c r="I563" s="221" t="s">
        <v>207</v>
      </c>
      <c r="J563" s="239">
        <v>4</v>
      </c>
    </row>
    <row r="564" spans="1:10" x14ac:dyDescent="0.25">
      <c r="A564" s="424"/>
      <c r="B564" s="425"/>
      <c r="C564" s="425"/>
      <c r="D564" s="425"/>
      <c r="E564" s="425"/>
      <c r="F564" s="425"/>
      <c r="G564" s="425"/>
      <c r="H564" s="425"/>
      <c r="I564" s="425"/>
      <c r="J564" s="426"/>
    </row>
    <row r="565" spans="1:10" ht="29.25" customHeight="1" x14ac:dyDescent="0.25">
      <c r="A565" s="232" t="s">
        <v>287</v>
      </c>
      <c r="B565" s="219">
        <v>86912</v>
      </c>
      <c r="C565" s="219" t="s">
        <v>95</v>
      </c>
      <c r="D565" s="433" t="s">
        <v>358</v>
      </c>
      <c r="E565" s="433"/>
      <c r="F565" s="433"/>
      <c r="G565" s="433"/>
      <c r="H565" s="433"/>
      <c r="I565" s="219" t="str">
        <f>I566</f>
        <v>PÇ</v>
      </c>
      <c r="J565" s="233">
        <f>J566</f>
        <v>1</v>
      </c>
    </row>
    <row r="566" spans="1:10" x14ac:dyDescent="0.25">
      <c r="A566" s="234"/>
      <c r="B566" s="221"/>
      <c r="C566" s="221"/>
      <c r="D566" s="425" t="s">
        <v>346</v>
      </c>
      <c r="E566" s="425"/>
      <c r="F566" s="425"/>
      <c r="G566" s="425"/>
      <c r="H566" s="425"/>
      <c r="I566" s="221" t="s">
        <v>207</v>
      </c>
      <c r="J566" s="239">
        <v>1</v>
      </c>
    </row>
    <row r="567" spans="1:10" x14ac:dyDescent="0.25">
      <c r="A567" s="424"/>
      <c r="B567" s="425"/>
      <c r="C567" s="425"/>
      <c r="D567" s="425"/>
      <c r="E567" s="425"/>
      <c r="F567" s="425"/>
      <c r="G567" s="425"/>
      <c r="H567" s="425"/>
      <c r="I567" s="425"/>
      <c r="J567" s="426"/>
    </row>
    <row r="568" spans="1:10" x14ac:dyDescent="0.25">
      <c r="A568" s="231" t="s">
        <v>288</v>
      </c>
      <c r="B568" s="430" t="s">
        <v>290</v>
      </c>
      <c r="C568" s="430"/>
      <c r="D568" s="430"/>
      <c r="E568" s="430"/>
      <c r="F568" s="430"/>
      <c r="G568" s="430"/>
      <c r="H568" s="430"/>
      <c r="I568" s="430"/>
      <c r="J568" s="431"/>
    </row>
    <row r="569" spans="1:10" x14ac:dyDescent="0.25">
      <c r="A569" s="424"/>
      <c r="B569" s="425"/>
      <c r="C569" s="425"/>
      <c r="D569" s="425"/>
      <c r="E569" s="425"/>
      <c r="F569" s="425"/>
      <c r="G569" s="425"/>
      <c r="H569" s="425"/>
      <c r="I569" s="425"/>
      <c r="J569" s="426"/>
    </row>
    <row r="570" spans="1:10" ht="24.75" customHeight="1" x14ac:dyDescent="0.25">
      <c r="A570" s="232" t="s">
        <v>651</v>
      </c>
      <c r="B570" s="219">
        <v>88485</v>
      </c>
      <c r="C570" s="219" t="s">
        <v>95</v>
      </c>
      <c r="D570" s="433" t="s">
        <v>444</v>
      </c>
      <c r="E570" s="433"/>
      <c r="F570" s="433"/>
      <c r="G570" s="433"/>
      <c r="H570" s="433"/>
      <c r="I570" s="219" t="s">
        <v>284</v>
      </c>
      <c r="J570" s="233">
        <f>SUM(J573:J583)-(J586+J587+J588+J589)</f>
        <v>353.42399999999998</v>
      </c>
    </row>
    <row r="571" spans="1:10" x14ac:dyDescent="0.25">
      <c r="A571" s="234"/>
      <c r="B571" s="221"/>
      <c r="C571" s="221"/>
      <c r="D571" s="439" t="s">
        <v>340</v>
      </c>
      <c r="E571" s="439"/>
      <c r="F571" s="439"/>
      <c r="G571" s="439"/>
      <c r="H571" s="439"/>
      <c r="I571" s="221"/>
      <c r="J571" s="235"/>
    </row>
    <row r="572" spans="1:10" x14ac:dyDescent="0.25">
      <c r="A572" s="234"/>
      <c r="B572" s="221"/>
      <c r="C572" s="221"/>
      <c r="D572" s="439" t="s">
        <v>318</v>
      </c>
      <c r="E572" s="439"/>
      <c r="F572" s="439" t="s">
        <v>331</v>
      </c>
      <c r="G572" s="439"/>
      <c r="H572" s="219" t="s">
        <v>311</v>
      </c>
      <c r="I572" s="219" t="s">
        <v>319</v>
      </c>
      <c r="J572" s="237" t="s">
        <v>305</v>
      </c>
    </row>
    <row r="573" spans="1:10" x14ac:dyDescent="0.25">
      <c r="A573" s="234"/>
      <c r="B573" s="221"/>
      <c r="C573" s="221"/>
      <c r="D573" s="425" t="s">
        <v>332</v>
      </c>
      <c r="E573" s="425"/>
      <c r="F573" s="449">
        <v>22.3</v>
      </c>
      <c r="G573" s="449"/>
      <c r="H573" s="222">
        <v>3</v>
      </c>
      <c r="I573" s="222">
        <v>1</v>
      </c>
      <c r="J573" s="239">
        <f t="shared" ref="J573:J576" si="16">I573*H573*F573</f>
        <v>66.900000000000006</v>
      </c>
    </row>
    <row r="574" spans="1:10" x14ac:dyDescent="0.25">
      <c r="A574" s="234"/>
      <c r="B574" s="221"/>
      <c r="C574" s="221"/>
      <c r="D574" s="425" t="s">
        <v>333</v>
      </c>
      <c r="E574" s="425"/>
      <c r="F574" s="449">
        <v>22.3</v>
      </c>
      <c r="G574" s="449"/>
      <c r="H574" s="222">
        <v>3</v>
      </c>
      <c r="I574" s="222">
        <v>1</v>
      </c>
      <c r="J574" s="239">
        <f t="shared" si="16"/>
        <v>66.900000000000006</v>
      </c>
    </row>
    <row r="575" spans="1:10" x14ac:dyDescent="0.25">
      <c r="A575" s="234"/>
      <c r="B575" s="221"/>
      <c r="C575" s="221"/>
      <c r="D575" s="449" t="s">
        <v>334</v>
      </c>
      <c r="E575" s="449"/>
      <c r="F575" s="449">
        <v>11.54</v>
      </c>
      <c r="G575" s="449"/>
      <c r="H575" s="222">
        <v>4</v>
      </c>
      <c r="I575" s="222">
        <v>1</v>
      </c>
      <c r="J575" s="239">
        <f t="shared" si="16"/>
        <v>46.16</v>
      </c>
    </row>
    <row r="576" spans="1:10" x14ac:dyDescent="0.25">
      <c r="A576" s="234"/>
      <c r="B576" s="221"/>
      <c r="C576" s="221"/>
      <c r="D576" s="449" t="s">
        <v>335</v>
      </c>
      <c r="E576" s="449"/>
      <c r="F576" s="449">
        <v>11.54</v>
      </c>
      <c r="G576" s="449"/>
      <c r="H576" s="222">
        <v>4</v>
      </c>
      <c r="I576" s="222">
        <v>1</v>
      </c>
      <c r="J576" s="239">
        <f t="shared" si="16"/>
        <v>46.16</v>
      </c>
    </row>
    <row r="577" spans="1:10" x14ac:dyDescent="0.25">
      <c r="A577" s="247"/>
      <c r="B577" s="230"/>
      <c r="C577" s="230"/>
      <c r="D577" s="439" t="s">
        <v>441</v>
      </c>
      <c r="E577" s="439"/>
      <c r="F577" s="439"/>
      <c r="G577" s="439"/>
      <c r="H577" s="439"/>
      <c r="I577" s="222"/>
      <c r="J577" s="239"/>
    </row>
    <row r="578" spans="1:10" x14ac:dyDescent="0.25">
      <c r="A578" s="247"/>
      <c r="B578" s="230"/>
      <c r="C578" s="230"/>
      <c r="D578" s="449" t="s">
        <v>442</v>
      </c>
      <c r="E578" s="449"/>
      <c r="F578" s="449">
        <v>23.72</v>
      </c>
      <c r="G578" s="449"/>
      <c r="H578" s="222">
        <v>3</v>
      </c>
      <c r="I578" s="222">
        <v>1</v>
      </c>
      <c r="J578" s="239">
        <f t="shared" ref="J578:J583" si="17">I578*H578*F578</f>
        <v>71.16</v>
      </c>
    </row>
    <row r="579" spans="1:10" x14ac:dyDescent="0.25">
      <c r="A579" s="247"/>
      <c r="B579" s="230"/>
      <c r="C579" s="230"/>
      <c r="D579" s="449" t="s">
        <v>431</v>
      </c>
      <c r="E579" s="449"/>
      <c r="F579" s="449">
        <f>12.24</f>
        <v>12.24</v>
      </c>
      <c r="G579" s="449"/>
      <c r="H579" s="222">
        <v>4</v>
      </c>
      <c r="I579" s="222">
        <v>1</v>
      </c>
      <c r="J579" s="239">
        <f>I579*H579*F579</f>
        <v>48.96</v>
      </c>
    </row>
    <row r="580" spans="1:10" x14ac:dyDescent="0.25">
      <c r="A580" s="247"/>
      <c r="B580" s="230"/>
      <c r="C580" s="230"/>
      <c r="D580" s="449" t="s">
        <v>638</v>
      </c>
      <c r="E580" s="449"/>
      <c r="F580" s="489">
        <v>25.2</v>
      </c>
      <c r="G580" s="489"/>
      <c r="H580" s="222">
        <v>0.5</v>
      </c>
      <c r="I580" s="222">
        <v>2</v>
      </c>
      <c r="J580" s="239">
        <f t="shared" si="17"/>
        <v>25.2</v>
      </c>
    </row>
    <row r="581" spans="1:10" x14ac:dyDescent="0.25">
      <c r="A581" s="247"/>
      <c r="B581" s="230"/>
      <c r="C581" s="230"/>
      <c r="D581" s="449" t="s">
        <v>322</v>
      </c>
      <c r="E581" s="449"/>
      <c r="F581" s="449">
        <v>10.19</v>
      </c>
      <c r="G581" s="449"/>
      <c r="H581" s="222">
        <v>0.5</v>
      </c>
      <c r="I581" s="222">
        <v>1</v>
      </c>
      <c r="J581" s="239">
        <f t="shared" si="17"/>
        <v>5.0949999999999998</v>
      </c>
    </row>
    <row r="582" spans="1:10" s="27" customFormat="1" x14ac:dyDescent="0.25">
      <c r="A582" s="234"/>
      <c r="B582" s="221"/>
      <c r="C582" s="221"/>
      <c r="D582" s="449" t="s">
        <v>446</v>
      </c>
      <c r="E582" s="449"/>
      <c r="F582" s="449">
        <v>0.3</v>
      </c>
      <c r="G582" s="449"/>
      <c r="H582" s="222">
        <v>0.18</v>
      </c>
      <c r="I582" s="222">
        <v>2</v>
      </c>
      <c r="J582" s="239">
        <f t="shared" si="17"/>
        <v>0.108</v>
      </c>
    </row>
    <row r="583" spans="1:10" s="27" customFormat="1" x14ac:dyDescent="0.25">
      <c r="A583" s="234"/>
      <c r="B583" s="221"/>
      <c r="C583" s="221"/>
      <c r="D583" s="449"/>
      <c r="E583" s="449"/>
      <c r="F583" s="449">
        <v>0.3</v>
      </c>
      <c r="G583" s="449"/>
      <c r="H583" s="222">
        <f>0.18*2</f>
        <v>0.36</v>
      </c>
      <c r="I583" s="222">
        <v>2</v>
      </c>
      <c r="J583" s="239">
        <f t="shared" si="17"/>
        <v>0.216</v>
      </c>
    </row>
    <row r="584" spans="1:10" x14ac:dyDescent="0.25">
      <c r="A584" s="247"/>
      <c r="B584" s="230"/>
      <c r="C584" s="230"/>
      <c r="D584" s="449" t="s">
        <v>440</v>
      </c>
      <c r="E584" s="449"/>
      <c r="F584" s="449"/>
      <c r="G584" s="449"/>
      <c r="H584" s="449"/>
      <c r="I584" s="221"/>
      <c r="J584" s="238"/>
    </row>
    <row r="585" spans="1:10" x14ac:dyDescent="0.25">
      <c r="A585" s="247"/>
      <c r="B585" s="230"/>
      <c r="C585" s="230"/>
      <c r="D585" s="439" t="s">
        <v>318</v>
      </c>
      <c r="E585" s="439"/>
      <c r="F585" s="222" t="s">
        <v>428</v>
      </c>
      <c r="G585" s="222" t="s">
        <v>429</v>
      </c>
      <c r="H585" s="222" t="s">
        <v>359</v>
      </c>
      <c r="I585" s="222"/>
      <c r="J585" s="239"/>
    </row>
    <row r="586" spans="1:10" x14ac:dyDescent="0.25">
      <c r="A586" s="247"/>
      <c r="B586" s="230"/>
      <c r="C586" s="230"/>
      <c r="D586" s="449" t="s">
        <v>438</v>
      </c>
      <c r="E586" s="449"/>
      <c r="F586" s="222">
        <v>2.5</v>
      </c>
      <c r="G586" s="222">
        <v>1.1000000000000001</v>
      </c>
      <c r="H586" s="222">
        <v>4</v>
      </c>
      <c r="I586" s="222"/>
      <c r="J586" s="244">
        <f>F586*G586*H586</f>
        <v>11</v>
      </c>
    </row>
    <row r="587" spans="1:10" x14ac:dyDescent="0.25">
      <c r="A587" s="247"/>
      <c r="B587" s="230"/>
      <c r="C587" s="230"/>
      <c r="D587" s="449" t="s">
        <v>439</v>
      </c>
      <c r="E587" s="449"/>
      <c r="F587" s="222">
        <v>0.8</v>
      </c>
      <c r="G587" s="222">
        <v>2.1</v>
      </c>
      <c r="H587" s="222">
        <v>4</v>
      </c>
      <c r="I587" s="222"/>
      <c r="J587" s="244">
        <f>F587*G587*H587</f>
        <v>6.7200000000000006</v>
      </c>
    </row>
    <row r="588" spans="1:10" s="27" customFormat="1" x14ac:dyDescent="0.25">
      <c r="A588" s="247"/>
      <c r="B588" s="230"/>
      <c r="C588" s="230"/>
      <c r="D588" s="449" t="s">
        <v>639</v>
      </c>
      <c r="E588" s="449"/>
      <c r="F588" s="286">
        <v>2.6</v>
      </c>
      <c r="G588" s="286">
        <v>0.6</v>
      </c>
      <c r="H588" s="286">
        <v>2</v>
      </c>
      <c r="I588" s="286"/>
      <c r="J588" s="244">
        <f>F588*G588*H588</f>
        <v>3.12</v>
      </c>
    </row>
    <row r="589" spans="1:10" s="27" customFormat="1" x14ac:dyDescent="0.25">
      <c r="A589" s="247"/>
      <c r="B589" s="230"/>
      <c r="C589" s="230"/>
      <c r="D589" s="449" t="s">
        <v>640</v>
      </c>
      <c r="E589" s="449"/>
      <c r="F589" s="286">
        <v>5.19</v>
      </c>
      <c r="G589" s="286">
        <v>0.5</v>
      </c>
      <c r="H589" s="286">
        <v>1</v>
      </c>
      <c r="I589" s="286"/>
      <c r="J589" s="244">
        <f>F589*G589*H589</f>
        <v>2.5950000000000002</v>
      </c>
    </row>
    <row r="590" spans="1:10" x14ac:dyDescent="0.25">
      <c r="A590" s="424"/>
      <c r="B590" s="425"/>
      <c r="C590" s="425"/>
      <c r="D590" s="425"/>
      <c r="E590" s="425"/>
      <c r="F590" s="425"/>
      <c r="G590" s="425"/>
      <c r="H590" s="425"/>
      <c r="I590" s="425"/>
      <c r="J590" s="426"/>
    </row>
    <row r="591" spans="1:10" ht="24" customHeight="1" x14ac:dyDescent="0.25">
      <c r="A591" s="232" t="s">
        <v>652</v>
      </c>
      <c r="B591" s="219">
        <v>88489</v>
      </c>
      <c r="C591" s="219" t="s">
        <v>95</v>
      </c>
      <c r="D591" s="432" t="s">
        <v>445</v>
      </c>
      <c r="E591" s="432"/>
      <c r="F591" s="432"/>
      <c r="G591" s="432"/>
      <c r="H591" s="432"/>
      <c r="I591" s="219" t="s">
        <v>284</v>
      </c>
      <c r="J591" s="233">
        <f>SUM(J594:J604)-(J609+J610+J608+J607)</f>
        <v>353.42399999999998</v>
      </c>
    </row>
    <row r="592" spans="1:10" s="27" customFormat="1" x14ac:dyDescent="0.25">
      <c r="A592" s="287"/>
      <c r="B592" s="288"/>
      <c r="C592" s="288"/>
      <c r="D592" s="439" t="s">
        <v>340</v>
      </c>
      <c r="E592" s="439"/>
      <c r="F592" s="439"/>
      <c r="G592" s="439"/>
      <c r="H592" s="439"/>
      <c r="I592" s="288"/>
      <c r="J592" s="289"/>
    </row>
    <row r="593" spans="1:10" s="27" customFormat="1" x14ac:dyDescent="0.25">
      <c r="A593" s="287"/>
      <c r="B593" s="288"/>
      <c r="C593" s="288"/>
      <c r="D593" s="439" t="s">
        <v>318</v>
      </c>
      <c r="E593" s="439"/>
      <c r="F593" s="439" t="s">
        <v>331</v>
      </c>
      <c r="G593" s="439"/>
      <c r="H593" s="290" t="s">
        <v>311</v>
      </c>
      <c r="I593" s="290" t="s">
        <v>319</v>
      </c>
      <c r="J593" s="237" t="s">
        <v>305</v>
      </c>
    </row>
    <row r="594" spans="1:10" s="27" customFormat="1" x14ac:dyDescent="0.25">
      <c r="A594" s="287"/>
      <c r="B594" s="288"/>
      <c r="C594" s="288"/>
      <c r="D594" s="425" t="s">
        <v>332</v>
      </c>
      <c r="E594" s="425"/>
      <c r="F594" s="449">
        <v>22.3</v>
      </c>
      <c r="G594" s="449"/>
      <c r="H594" s="286">
        <v>3</v>
      </c>
      <c r="I594" s="286">
        <v>1</v>
      </c>
      <c r="J594" s="292">
        <f t="shared" ref="J594:J597" si="18">I594*H594*F594</f>
        <v>66.900000000000006</v>
      </c>
    </row>
    <row r="595" spans="1:10" s="27" customFormat="1" x14ac:dyDescent="0.25">
      <c r="A595" s="287"/>
      <c r="B595" s="288"/>
      <c r="C595" s="288"/>
      <c r="D595" s="425" t="s">
        <v>333</v>
      </c>
      <c r="E595" s="425"/>
      <c r="F595" s="449">
        <v>22.3</v>
      </c>
      <c r="G595" s="449"/>
      <c r="H595" s="286">
        <v>3</v>
      </c>
      <c r="I595" s="286">
        <v>1</v>
      </c>
      <c r="J595" s="292">
        <f t="shared" si="18"/>
        <v>66.900000000000006</v>
      </c>
    </row>
    <row r="596" spans="1:10" s="27" customFormat="1" x14ac:dyDescent="0.25">
      <c r="A596" s="287"/>
      <c r="B596" s="288"/>
      <c r="C596" s="288"/>
      <c r="D596" s="449" t="s">
        <v>334</v>
      </c>
      <c r="E596" s="449"/>
      <c r="F596" s="449">
        <v>11.54</v>
      </c>
      <c r="G596" s="449"/>
      <c r="H596" s="286">
        <v>4</v>
      </c>
      <c r="I596" s="286">
        <v>1</v>
      </c>
      <c r="J596" s="292">
        <f t="shared" si="18"/>
        <v>46.16</v>
      </c>
    </row>
    <row r="597" spans="1:10" s="27" customFormat="1" x14ac:dyDescent="0.25">
      <c r="A597" s="287"/>
      <c r="B597" s="288"/>
      <c r="C597" s="288"/>
      <c r="D597" s="449" t="s">
        <v>335</v>
      </c>
      <c r="E597" s="449"/>
      <c r="F597" s="449">
        <v>11.54</v>
      </c>
      <c r="G597" s="449"/>
      <c r="H597" s="286">
        <v>4</v>
      </c>
      <c r="I597" s="286">
        <v>1</v>
      </c>
      <c r="J597" s="292">
        <f t="shared" si="18"/>
        <v>46.16</v>
      </c>
    </row>
    <row r="598" spans="1:10" s="27" customFormat="1" x14ac:dyDescent="0.25">
      <c r="A598" s="247"/>
      <c r="B598" s="230"/>
      <c r="C598" s="230"/>
      <c r="D598" s="439" t="s">
        <v>441</v>
      </c>
      <c r="E598" s="439"/>
      <c r="F598" s="439"/>
      <c r="G598" s="439"/>
      <c r="H598" s="439"/>
      <c r="I598" s="286"/>
      <c r="J598" s="292"/>
    </row>
    <row r="599" spans="1:10" s="27" customFormat="1" x14ac:dyDescent="0.25">
      <c r="A599" s="247"/>
      <c r="B599" s="230"/>
      <c r="C599" s="230"/>
      <c r="D599" s="449" t="s">
        <v>442</v>
      </c>
      <c r="E599" s="449"/>
      <c r="F599" s="449">
        <v>23.72</v>
      </c>
      <c r="G599" s="449"/>
      <c r="H599" s="286">
        <v>3</v>
      </c>
      <c r="I599" s="286">
        <v>1</v>
      </c>
      <c r="J599" s="292">
        <f t="shared" ref="J599" si="19">I599*H599*F599</f>
        <v>71.16</v>
      </c>
    </row>
    <row r="600" spans="1:10" s="27" customFormat="1" x14ac:dyDescent="0.25">
      <c r="A600" s="247"/>
      <c r="B600" s="230"/>
      <c r="C600" s="230"/>
      <c r="D600" s="449" t="s">
        <v>431</v>
      </c>
      <c r="E600" s="449"/>
      <c r="F600" s="449">
        <f>12.24</f>
        <v>12.24</v>
      </c>
      <c r="G600" s="449"/>
      <c r="H600" s="286">
        <v>4</v>
      </c>
      <c r="I600" s="286">
        <v>1</v>
      </c>
      <c r="J600" s="292">
        <f>I600*H600*F600</f>
        <v>48.96</v>
      </c>
    </row>
    <row r="601" spans="1:10" s="27" customFormat="1" x14ac:dyDescent="0.25">
      <c r="A601" s="247"/>
      <c r="B601" s="230"/>
      <c r="C601" s="230"/>
      <c r="D601" s="449" t="s">
        <v>638</v>
      </c>
      <c r="E601" s="449"/>
      <c r="F601" s="489">
        <v>25.2</v>
      </c>
      <c r="G601" s="489"/>
      <c r="H601" s="286">
        <v>0.5</v>
      </c>
      <c r="I601" s="286">
        <v>2</v>
      </c>
      <c r="J601" s="292">
        <f t="shared" ref="J601:J604" si="20">I601*H601*F601</f>
        <v>25.2</v>
      </c>
    </row>
    <row r="602" spans="1:10" s="27" customFormat="1" x14ac:dyDescent="0.25">
      <c r="A602" s="247"/>
      <c r="B602" s="230"/>
      <c r="C602" s="230"/>
      <c r="D602" s="449" t="s">
        <v>322</v>
      </c>
      <c r="E602" s="449"/>
      <c r="F602" s="449">
        <v>10.19</v>
      </c>
      <c r="G602" s="449"/>
      <c r="H602" s="286">
        <v>0.5</v>
      </c>
      <c r="I602" s="286">
        <v>1</v>
      </c>
      <c r="J602" s="292">
        <f t="shared" si="20"/>
        <v>5.0949999999999998</v>
      </c>
    </row>
    <row r="603" spans="1:10" s="27" customFormat="1" x14ac:dyDescent="0.25">
      <c r="A603" s="287"/>
      <c r="B603" s="288"/>
      <c r="C603" s="288"/>
      <c r="D603" s="449" t="s">
        <v>446</v>
      </c>
      <c r="E603" s="449"/>
      <c r="F603" s="449">
        <v>0.3</v>
      </c>
      <c r="G603" s="449"/>
      <c r="H603" s="286">
        <v>0.18</v>
      </c>
      <c r="I603" s="286">
        <v>2</v>
      </c>
      <c r="J603" s="292">
        <f t="shared" si="20"/>
        <v>0.108</v>
      </c>
    </row>
    <row r="604" spans="1:10" s="27" customFormat="1" x14ac:dyDescent="0.25">
      <c r="A604" s="287"/>
      <c r="B604" s="288"/>
      <c r="C604" s="288"/>
      <c r="D604" s="449"/>
      <c r="E604" s="449"/>
      <c r="F604" s="449">
        <v>0.3</v>
      </c>
      <c r="G604" s="449"/>
      <c r="H604" s="286">
        <f>0.18*2</f>
        <v>0.36</v>
      </c>
      <c r="I604" s="286">
        <v>2</v>
      </c>
      <c r="J604" s="292">
        <f t="shared" si="20"/>
        <v>0.216</v>
      </c>
    </row>
    <row r="605" spans="1:10" s="27" customFormat="1" x14ac:dyDescent="0.25">
      <c r="A605" s="247"/>
      <c r="B605" s="230"/>
      <c r="C605" s="230"/>
      <c r="D605" s="449" t="s">
        <v>440</v>
      </c>
      <c r="E605" s="449"/>
      <c r="F605" s="449"/>
      <c r="G605" s="449"/>
      <c r="H605" s="449"/>
      <c r="I605" s="288"/>
      <c r="J605" s="294"/>
    </row>
    <row r="606" spans="1:10" s="27" customFormat="1" x14ac:dyDescent="0.25">
      <c r="A606" s="247"/>
      <c r="B606" s="230"/>
      <c r="C606" s="230"/>
      <c r="D606" s="439" t="s">
        <v>318</v>
      </c>
      <c r="E606" s="439"/>
      <c r="F606" s="286" t="s">
        <v>428</v>
      </c>
      <c r="G606" s="286" t="s">
        <v>429</v>
      </c>
      <c r="H606" s="286" t="s">
        <v>359</v>
      </c>
      <c r="I606" s="286"/>
      <c r="J606" s="292"/>
    </row>
    <row r="607" spans="1:10" s="27" customFormat="1" x14ac:dyDescent="0.25">
      <c r="A607" s="247"/>
      <c r="B607" s="230"/>
      <c r="C607" s="230"/>
      <c r="D607" s="449" t="s">
        <v>438</v>
      </c>
      <c r="E607" s="449"/>
      <c r="F607" s="286">
        <v>2.5</v>
      </c>
      <c r="G607" s="286">
        <v>1.1000000000000001</v>
      </c>
      <c r="H607" s="286">
        <v>4</v>
      </c>
      <c r="I607" s="286"/>
      <c r="J607" s="244">
        <f>F607*G607*H607</f>
        <v>11</v>
      </c>
    </row>
    <row r="608" spans="1:10" s="27" customFormat="1" x14ac:dyDescent="0.25">
      <c r="A608" s="247"/>
      <c r="B608" s="230"/>
      <c r="C608" s="230"/>
      <c r="D608" s="449" t="s">
        <v>439</v>
      </c>
      <c r="E608" s="449"/>
      <c r="F608" s="286">
        <v>0.8</v>
      </c>
      <c r="G608" s="286">
        <v>2.1</v>
      </c>
      <c r="H608" s="286">
        <v>4</v>
      </c>
      <c r="I608" s="286"/>
      <c r="J608" s="244">
        <f>F608*G608*H608</f>
        <v>6.7200000000000006</v>
      </c>
    </row>
    <row r="609" spans="1:10" s="27" customFormat="1" x14ac:dyDescent="0.25">
      <c r="A609" s="247"/>
      <c r="B609" s="230"/>
      <c r="C609" s="230"/>
      <c r="D609" s="449" t="s">
        <v>639</v>
      </c>
      <c r="E609" s="449"/>
      <c r="F609" s="286">
        <v>2.6</v>
      </c>
      <c r="G609" s="286">
        <v>0.6</v>
      </c>
      <c r="H609" s="286">
        <v>2</v>
      </c>
      <c r="I609" s="286"/>
      <c r="J609" s="244">
        <f>F609*G609*H609</f>
        <v>3.12</v>
      </c>
    </row>
    <row r="610" spans="1:10" s="27" customFormat="1" x14ac:dyDescent="0.25">
      <c r="A610" s="247"/>
      <c r="B610" s="230"/>
      <c r="C610" s="230"/>
      <c r="D610" s="449" t="s">
        <v>640</v>
      </c>
      <c r="E610" s="449"/>
      <c r="F610" s="286">
        <v>5.19</v>
      </c>
      <c r="G610" s="286">
        <v>0.5</v>
      </c>
      <c r="H610" s="286">
        <v>1</v>
      </c>
      <c r="I610" s="286"/>
      <c r="J610" s="244">
        <f>F610*G610*H610</f>
        <v>2.5950000000000002</v>
      </c>
    </row>
    <row r="611" spans="1:10" s="27" customFormat="1" x14ac:dyDescent="0.25">
      <c r="A611" s="424"/>
      <c r="B611" s="425"/>
      <c r="C611" s="425"/>
      <c r="D611" s="425"/>
      <c r="E611" s="425"/>
      <c r="F611" s="425"/>
      <c r="G611" s="425"/>
      <c r="H611" s="425"/>
      <c r="I611" s="425"/>
      <c r="J611" s="426"/>
    </row>
    <row r="612" spans="1:10" s="27" customFormat="1" ht="27" customHeight="1" x14ac:dyDescent="0.25">
      <c r="A612" s="232" t="s">
        <v>653</v>
      </c>
      <c r="B612" s="260">
        <v>6082</v>
      </c>
      <c r="C612" s="260" t="s">
        <v>95</v>
      </c>
      <c r="D612" s="432" t="s">
        <v>558</v>
      </c>
      <c r="E612" s="432"/>
      <c r="F612" s="432"/>
      <c r="G612" s="432"/>
      <c r="H612" s="432"/>
      <c r="I612" s="260" t="s">
        <v>284</v>
      </c>
      <c r="J612" s="233">
        <f>SUM(J615:J618)</f>
        <v>16.8</v>
      </c>
    </row>
    <row r="613" spans="1:10" s="27" customFormat="1" x14ac:dyDescent="0.25">
      <c r="A613" s="262"/>
      <c r="B613" s="261"/>
      <c r="C613" s="261"/>
      <c r="D613" s="439" t="s">
        <v>555</v>
      </c>
      <c r="E613" s="439"/>
      <c r="F613" s="439"/>
      <c r="G613" s="439"/>
      <c r="H613" s="439"/>
      <c r="I613" s="261"/>
      <c r="J613" s="263"/>
    </row>
    <row r="614" spans="1:10" s="27" customFormat="1" x14ac:dyDescent="0.25">
      <c r="A614" s="262"/>
      <c r="B614" s="439" t="s">
        <v>318</v>
      </c>
      <c r="C614" s="439"/>
      <c r="D614" s="439" t="s">
        <v>554</v>
      </c>
      <c r="E614" s="439"/>
      <c r="F614" s="439" t="s">
        <v>311</v>
      </c>
      <c r="G614" s="439"/>
      <c r="H614" s="260" t="s">
        <v>556</v>
      </c>
      <c r="I614" s="260" t="s">
        <v>557</v>
      </c>
      <c r="J614" s="237" t="s">
        <v>305</v>
      </c>
    </row>
    <row r="615" spans="1:10" s="27" customFormat="1" x14ac:dyDescent="0.25">
      <c r="A615" s="262"/>
      <c r="B615" s="425" t="s">
        <v>332</v>
      </c>
      <c r="C615" s="425"/>
      <c r="D615" s="449">
        <v>0.8</v>
      </c>
      <c r="E615" s="449"/>
      <c r="F615" s="449">
        <v>2.1</v>
      </c>
      <c r="G615" s="449"/>
      <c r="H615" s="259">
        <v>1.25</v>
      </c>
      <c r="I615" s="259">
        <v>2</v>
      </c>
      <c r="J615" s="264">
        <f>(D615*F615*I615)*H615</f>
        <v>4.2</v>
      </c>
    </row>
    <row r="616" spans="1:10" s="27" customFormat="1" x14ac:dyDescent="0.25">
      <c r="A616" s="262"/>
      <c r="B616" s="425" t="s">
        <v>333</v>
      </c>
      <c r="C616" s="425"/>
      <c r="D616" s="449">
        <v>0.8</v>
      </c>
      <c r="E616" s="449"/>
      <c r="F616" s="449">
        <v>2.1</v>
      </c>
      <c r="G616" s="449"/>
      <c r="H616" s="259">
        <v>1.25</v>
      </c>
      <c r="I616" s="259">
        <v>2</v>
      </c>
      <c r="J616" s="264">
        <f t="shared" ref="J616:J618" si="21">(D616*F616*I616)*H616</f>
        <v>4.2</v>
      </c>
    </row>
    <row r="617" spans="1:10" s="27" customFormat="1" x14ac:dyDescent="0.25">
      <c r="A617" s="262"/>
      <c r="B617" s="449" t="s">
        <v>334</v>
      </c>
      <c r="C617" s="449"/>
      <c r="D617" s="449">
        <v>0.8</v>
      </c>
      <c r="E617" s="449"/>
      <c r="F617" s="449">
        <v>2.1</v>
      </c>
      <c r="G617" s="449"/>
      <c r="H617" s="259">
        <v>1.25</v>
      </c>
      <c r="I617" s="259">
        <v>2</v>
      </c>
      <c r="J617" s="264">
        <f t="shared" si="21"/>
        <v>4.2</v>
      </c>
    </row>
    <row r="618" spans="1:10" s="27" customFormat="1" x14ac:dyDescent="0.25">
      <c r="A618" s="262"/>
      <c r="B618" s="449" t="s">
        <v>335</v>
      </c>
      <c r="C618" s="449"/>
      <c r="D618" s="449">
        <v>0.8</v>
      </c>
      <c r="E618" s="449"/>
      <c r="F618" s="449">
        <v>2.1</v>
      </c>
      <c r="G618" s="449"/>
      <c r="H618" s="259">
        <v>1.25</v>
      </c>
      <c r="I618" s="259">
        <v>2</v>
      </c>
      <c r="J618" s="264">
        <f t="shared" si="21"/>
        <v>4.2</v>
      </c>
    </row>
    <row r="619" spans="1:10" x14ac:dyDescent="0.25">
      <c r="A619" s="424"/>
      <c r="B619" s="425"/>
      <c r="C619" s="425"/>
      <c r="D619" s="425"/>
      <c r="E619" s="425"/>
      <c r="F619" s="425"/>
      <c r="G619" s="425"/>
      <c r="H619" s="425"/>
      <c r="I619" s="425"/>
      <c r="J619" s="426"/>
    </row>
    <row r="620" spans="1:10" s="27" customFormat="1" x14ac:dyDescent="0.25">
      <c r="A620" s="231" t="s">
        <v>289</v>
      </c>
      <c r="B620" s="430" t="s">
        <v>496</v>
      </c>
      <c r="C620" s="430"/>
      <c r="D620" s="430"/>
      <c r="E620" s="430"/>
      <c r="F620" s="430"/>
      <c r="G620" s="430"/>
      <c r="H620" s="430"/>
      <c r="I620" s="430"/>
      <c r="J620" s="431"/>
    </row>
    <row r="621" spans="1:10" s="27" customFormat="1" x14ac:dyDescent="0.25">
      <c r="A621" s="424"/>
      <c r="B621" s="425"/>
      <c r="C621" s="425"/>
      <c r="D621" s="425"/>
      <c r="E621" s="425"/>
      <c r="F621" s="425"/>
      <c r="G621" s="425"/>
      <c r="H621" s="425"/>
      <c r="I621" s="425"/>
      <c r="J621" s="426"/>
    </row>
    <row r="622" spans="1:10" s="27" customFormat="1" ht="24.75" customHeight="1" x14ac:dyDescent="0.25">
      <c r="A622" s="232" t="s">
        <v>291</v>
      </c>
      <c r="B622" s="290">
        <v>4481</v>
      </c>
      <c r="C622" s="302" t="s">
        <v>95</v>
      </c>
      <c r="D622" s="432" t="s">
        <v>650</v>
      </c>
      <c r="E622" s="432"/>
      <c r="F622" s="432"/>
      <c r="G622" s="432"/>
      <c r="H622" s="432"/>
      <c r="I622" s="290" t="s">
        <v>284</v>
      </c>
      <c r="J622" s="233">
        <v>6</v>
      </c>
    </row>
    <row r="623" spans="1:10" s="27" customFormat="1" x14ac:dyDescent="0.25">
      <c r="A623" s="424"/>
      <c r="B623" s="425"/>
      <c r="C623" s="425"/>
      <c r="D623" s="425"/>
      <c r="E623" s="425"/>
      <c r="F623" s="425"/>
      <c r="G623" s="425"/>
      <c r="H623" s="425"/>
      <c r="I623" s="425"/>
      <c r="J623" s="426"/>
    </row>
    <row r="624" spans="1:10" s="27" customFormat="1" ht="24.75" customHeight="1" x14ac:dyDescent="0.25">
      <c r="A624" s="232" t="s">
        <v>292</v>
      </c>
      <c r="B624" s="367">
        <v>110210</v>
      </c>
      <c r="C624" s="367" t="s">
        <v>424</v>
      </c>
      <c r="D624" s="432" t="s">
        <v>659</v>
      </c>
      <c r="E624" s="432"/>
      <c r="F624" s="432"/>
      <c r="G624" s="432"/>
      <c r="H624" s="432"/>
      <c r="I624" s="308" t="s">
        <v>284</v>
      </c>
      <c r="J624" s="233">
        <f>SUM(H627:H628)</f>
        <v>76.64</v>
      </c>
    </row>
    <row r="625" spans="1:10" s="27" customFormat="1" x14ac:dyDescent="0.25">
      <c r="A625" s="305"/>
      <c r="B625" s="306"/>
      <c r="C625" s="306"/>
      <c r="D625" s="493" t="s">
        <v>660</v>
      </c>
      <c r="E625" s="493"/>
      <c r="F625" s="493"/>
      <c r="G625" s="493"/>
      <c r="H625" s="493"/>
      <c r="I625" s="306"/>
      <c r="J625" s="307"/>
    </row>
    <row r="626" spans="1:10" s="27" customFormat="1" x14ac:dyDescent="0.25">
      <c r="A626" s="247"/>
      <c r="B626" s="439" t="s">
        <v>318</v>
      </c>
      <c r="C626" s="439"/>
      <c r="D626" s="439"/>
      <c r="E626" s="439"/>
      <c r="F626" s="439" t="s">
        <v>661</v>
      </c>
      <c r="G626" s="439"/>
      <c r="H626" s="308" t="s">
        <v>305</v>
      </c>
      <c r="I626" s="230"/>
      <c r="J626" s="248"/>
    </row>
    <row r="627" spans="1:10" s="27" customFormat="1" x14ac:dyDescent="0.25">
      <c r="A627" s="312"/>
      <c r="B627" s="425" t="s">
        <v>442</v>
      </c>
      <c r="C627" s="425"/>
      <c r="D627" s="494"/>
      <c r="E627" s="494"/>
      <c r="F627" s="494">
        <f>2*30.97</f>
        <v>61.94</v>
      </c>
      <c r="G627" s="494"/>
      <c r="H627" s="314">
        <f>F627</f>
        <v>61.94</v>
      </c>
      <c r="I627" s="313"/>
      <c r="J627" s="315"/>
    </row>
    <row r="628" spans="1:10" s="27" customFormat="1" x14ac:dyDescent="0.25">
      <c r="A628" s="312"/>
      <c r="B628" s="449" t="s">
        <v>431</v>
      </c>
      <c r="C628" s="449"/>
      <c r="D628" s="494"/>
      <c r="E628" s="494"/>
      <c r="F628" s="494">
        <f>2*7.35</f>
        <v>14.7</v>
      </c>
      <c r="G628" s="494"/>
      <c r="H628" s="314">
        <f>F628</f>
        <v>14.7</v>
      </c>
      <c r="I628" s="313"/>
      <c r="J628" s="315"/>
    </row>
    <row r="629" spans="1:10" s="27" customFormat="1" x14ac:dyDescent="0.25">
      <c r="A629" s="424"/>
      <c r="B629" s="425"/>
      <c r="C629" s="425"/>
      <c r="D629" s="425"/>
      <c r="E629" s="425"/>
      <c r="F629" s="425"/>
      <c r="G629" s="425"/>
      <c r="H629" s="425"/>
      <c r="I629" s="425"/>
      <c r="J629" s="426"/>
    </row>
    <row r="630" spans="1:10" ht="24.75" customHeight="1" x14ac:dyDescent="0.25">
      <c r="A630" s="232" t="s">
        <v>658</v>
      </c>
      <c r="B630" s="219">
        <v>9537</v>
      </c>
      <c r="C630" s="219" t="s">
        <v>95</v>
      </c>
      <c r="D630" s="432" t="s">
        <v>499</v>
      </c>
      <c r="E630" s="432"/>
      <c r="F630" s="432"/>
      <c r="G630" s="432"/>
      <c r="H630" s="432"/>
      <c r="I630" s="219" t="s">
        <v>284</v>
      </c>
      <c r="J630" s="233">
        <f>H633</f>
        <v>266.75</v>
      </c>
    </row>
    <row r="631" spans="1:10" s="27" customFormat="1" x14ac:dyDescent="0.25">
      <c r="A631" s="305"/>
      <c r="B631" s="306"/>
      <c r="C631" s="306"/>
      <c r="D631" s="493" t="s">
        <v>302</v>
      </c>
      <c r="E631" s="493"/>
      <c r="F631" s="493"/>
      <c r="G631" s="493"/>
      <c r="H631" s="493"/>
      <c r="I631" s="306"/>
      <c r="J631" s="307"/>
    </row>
    <row r="632" spans="1:10" x14ac:dyDescent="0.25">
      <c r="A632" s="247"/>
      <c r="B632" s="230"/>
      <c r="C632" s="230"/>
      <c r="D632" s="439" t="s">
        <v>303</v>
      </c>
      <c r="E632" s="439"/>
      <c r="F632" s="439" t="s">
        <v>304</v>
      </c>
      <c r="G632" s="439"/>
      <c r="H632" s="219" t="s">
        <v>305</v>
      </c>
      <c r="I632" s="230"/>
      <c r="J632" s="248"/>
    </row>
    <row r="633" spans="1:10" ht="15.75" thickBot="1" x14ac:dyDescent="0.3">
      <c r="A633" s="249"/>
      <c r="B633" s="250"/>
      <c r="C633" s="250"/>
      <c r="D633" s="434">
        <v>24.25</v>
      </c>
      <c r="E633" s="434"/>
      <c r="F633" s="434">
        <v>11</v>
      </c>
      <c r="G633" s="434"/>
      <c r="H633" s="251">
        <f>D633*F633</f>
        <v>266.75</v>
      </c>
      <c r="I633" s="250"/>
      <c r="J633" s="252"/>
    </row>
  </sheetData>
  <mergeCells count="757">
    <mergeCell ref="D631:H631"/>
    <mergeCell ref="D625:H625"/>
    <mergeCell ref="D626:E626"/>
    <mergeCell ref="F626:G626"/>
    <mergeCell ref="D627:E627"/>
    <mergeCell ref="F627:G627"/>
    <mergeCell ref="A629:J629"/>
    <mergeCell ref="B626:C626"/>
    <mergeCell ref="B627:C627"/>
    <mergeCell ref="B628:C628"/>
    <mergeCell ref="D628:E628"/>
    <mergeCell ref="F628:G628"/>
    <mergeCell ref="D622:H622"/>
    <mergeCell ref="A623:J623"/>
    <mergeCell ref="D280:E280"/>
    <mergeCell ref="F280:G280"/>
    <mergeCell ref="D281:E281"/>
    <mergeCell ref="F281:G281"/>
    <mergeCell ref="D588:E588"/>
    <mergeCell ref="D589:E589"/>
    <mergeCell ref="D593:E593"/>
    <mergeCell ref="F593:G593"/>
    <mergeCell ref="D598:H598"/>
    <mergeCell ref="D599:E599"/>
    <mergeCell ref="F599:G599"/>
    <mergeCell ref="D603:E604"/>
    <mergeCell ref="D605:H605"/>
    <mergeCell ref="D602:E602"/>
    <mergeCell ref="F602:G602"/>
    <mergeCell ref="F603:G603"/>
    <mergeCell ref="F604:G604"/>
    <mergeCell ref="A621:J621"/>
    <mergeCell ref="D618:E618"/>
    <mergeCell ref="F618:G618"/>
    <mergeCell ref="A611:J611"/>
    <mergeCell ref="D613:H613"/>
    <mergeCell ref="D267:H267"/>
    <mergeCell ref="D268:H268"/>
    <mergeCell ref="D269:E269"/>
    <mergeCell ref="F269:G269"/>
    <mergeCell ref="D270:E270"/>
    <mergeCell ref="F270:G270"/>
    <mergeCell ref="D181:E181"/>
    <mergeCell ref="D169:E169"/>
    <mergeCell ref="D170:E170"/>
    <mergeCell ref="D171:E171"/>
    <mergeCell ref="D184:E184"/>
    <mergeCell ref="D228:E228"/>
    <mergeCell ref="F228:G228"/>
    <mergeCell ref="D234:E234"/>
    <mergeCell ref="A188:J188"/>
    <mergeCell ref="D183:E183"/>
    <mergeCell ref="D185:E185"/>
    <mergeCell ref="D186:E186"/>
    <mergeCell ref="D187:H187"/>
    <mergeCell ref="F205:G205"/>
    <mergeCell ref="D206:E206"/>
    <mergeCell ref="F206:G206"/>
    <mergeCell ref="A207:J207"/>
    <mergeCell ref="B208:J208"/>
    <mergeCell ref="D131:E131"/>
    <mergeCell ref="D132:E132"/>
    <mergeCell ref="A266:J266"/>
    <mergeCell ref="B150:C150"/>
    <mergeCell ref="B149:C149"/>
    <mergeCell ref="F235:G235"/>
    <mergeCell ref="D236:E236"/>
    <mergeCell ref="F236:G236"/>
    <mergeCell ref="D237:E237"/>
    <mergeCell ref="F237:G237"/>
    <mergeCell ref="A238:J238"/>
    <mergeCell ref="D239:H239"/>
    <mergeCell ref="D240:H240"/>
    <mergeCell ref="D241:E241"/>
    <mergeCell ref="F241:G241"/>
    <mergeCell ref="D235:E235"/>
    <mergeCell ref="D233:H233"/>
    <mergeCell ref="D205:E205"/>
    <mergeCell ref="A209:J209"/>
    <mergeCell ref="D210:H210"/>
    <mergeCell ref="D211:E211"/>
    <mergeCell ref="F211:G211"/>
    <mergeCell ref="D212:E212"/>
    <mergeCell ref="F212:G212"/>
    <mergeCell ref="D105:E105"/>
    <mergeCell ref="D106:E106"/>
    <mergeCell ref="D107:E107"/>
    <mergeCell ref="D108:E108"/>
    <mergeCell ref="D109:H109"/>
    <mergeCell ref="D182:E182"/>
    <mergeCell ref="D174:H174"/>
    <mergeCell ref="D175:H175"/>
    <mergeCell ref="D176:E176"/>
    <mergeCell ref="D177:E177"/>
    <mergeCell ref="D178:E178"/>
    <mergeCell ref="D180:E180"/>
    <mergeCell ref="D179:E179"/>
    <mergeCell ref="A134:J134"/>
    <mergeCell ref="A135:J135"/>
    <mergeCell ref="D136:H136"/>
    <mergeCell ref="A146:J146"/>
    <mergeCell ref="B154:J154"/>
    <mergeCell ref="A155:J155"/>
    <mergeCell ref="A147:J147"/>
    <mergeCell ref="A148:J148"/>
    <mergeCell ref="D156:H156"/>
    <mergeCell ref="D157:H157"/>
    <mergeCell ref="D158:E158"/>
    <mergeCell ref="B614:C614"/>
    <mergeCell ref="B615:C615"/>
    <mergeCell ref="B616:C616"/>
    <mergeCell ref="B617:C617"/>
    <mergeCell ref="B618:C618"/>
    <mergeCell ref="D612:H612"/>
    <mergeCell ref="D614:E614"/>
    <mergeCell ref="F614:G614"/>
    <mergeCell ref="D615:E615"/>
    <mergeCell ref="F615:G615"/>
    <mergeCell ref="D616:E616"/>
    <mergeCell ref="F616:G616"/>
    <mergeCell ref="D617:E617"/>
    <mergeCell ref="F617:G617"/>
    <mergeCell ref="D610:E610"/>
    <mergeCell ref="D582:E583"/>
    <mergeCell ref="F582:G582"/>
    <mergeCell ref="F583:G583"/>
    <mergeCell ref="D608:E608"/>
    <mergeCell ref="D609:E609"/>
    <mergeCell ref="D597:E597"/>
    <mergeCell ref="F597:G597"/>
    <mergeCell ref="D600:E600"/>
    <mergeCell ref="F600:G600"/>
    <mergeCell ref="D601:E601"/>
    <mergeCell ref="F601:G601"/>
    <mergeCell ref="D606:E606"/>
    <mergeCell ref="D607:E607"/>
    <mergeCell ref="D591:H591"/>
    <mergeCell ref="D592:H592"/>
    <mergeCell ref="D594:E594"/>
    <mergeCell ref="F594:G594"/>
    <mergeCell ref="D595:E595"/>
    <mergeCell ref="F595:G595"/>
    <mergeCell ref="D596:E596"/>
    <mergeCell ref="F596:G596"/>
    <mergeCell ref="D587:E587"/>
    <mergeCell ref="A590:J590"/>
    <mergeCell ref="D573:E573"/>
    <mergeCell ref="F573:G573"/>
    <mergeCell ref="D576:E576"/>
    <mergeCell ref="F576:G576"/>
    <mergeCell ref="D570:H570"/>
    <mergeCell ref="D571:H571"/>
    <mergeCell ref="D572:E572"/>
    <mergeCell ref="F572:G572"/>
    <mergeCell ref="D585:E585"/>
    <mergeCell ref="D579:E579"/>
    <mergeCell ref="F579:G579"/>
    <mergeCell ref="D580:E580"/>
    <mergeCell ref="F580:G580"/>
    <mergeCell ref="D581:E581"/>
    <mergeCell ref="F581:G581"/>
    <mergeCell ref="D584:H584"/>
    <mergeCell ref="D577:H577"/>
    <mergeCell ref="D578:E578"/>
    <mergeCell ref="F578:G578"/>
    <mergeCell ref="D586:E586"/>
    <mergeCell ref="D574:E574"/>
    <mergeCell ref="F574:G574"/>
    <mergeCell ref="D575:E575"/>
    <mergeCell ref="F575:G575"/>
    <mergeCell ref="D229:E229"/>
    <mergeCell ref="D223:H223"/>
    <mergeCell ref="D224:H224"/>
    <mergeCell ref="D227:E227"/>
    <mergeCell ref="B245:J245"/>
    <mergeCell ref="A246:J246"/>
    <mergeCell ref="D247:H247"/>
    <mergeCell ref="D248:H248"/>
    <mergeCell ref="D249:E249"/>
    <mergeCell ref="F249:G249"/>
    <mergeCell ref="D250:E250"/>
    <mergeCell ref="F250:G250"/>
    <mergeCell ref="D242:E242"/>
    <mergeCell ref="F242:G242"/>
    <mergeCell ref="D243:E243"/>
    <mergeCell ref="F243:G243"/>
    <mergeCell ref="A244:J244"/>
    <mergeCell ref="D251:E251"/>
    <mergeCell ref="F251:G251"/>
    <mergeCell ref="D213:E213"/>
    <mergeCell ref="F213:G213"/>
    <mergeCell ref="B220:J220"/>
    <mergeCell ref="A221:J221"/>
    <mergeCell ref="A214:J214"/>
    <mergeCell ref="D217:E217"/>
    <mergeCell ref="F217:G217"/>
    <mergeCell ref="D218:E218"/>
    <mergeCell ref="F218:G218"/>
    <mergeCell ref="A219:J219"/>
    <mergeCell ref="D215:H215"/>
    <mergeCell ref="D216:E216"/>
    <mergeCell ref="F216:G216"/>
    <mergeCell ref="B199:J199"/>
    <mergeCell ref="A200:J200"/>
    <mergeCell ref="D201:H201"/>
    <mergeCell ref="D202:E202"/>
    <mergeCell ref="F202:G202"/>
    <mergeCell ref="D203:E203"/>
    <mergeCell ref="F203:G203"/>
    <mergeCell ref="D204:E204"/>
    <mergeCell ref="F204:G204"/>
    <mergeCell ref="D189:H189"/>
    <mergeCell ref="D190:H190"/>
    <mergeCell ref="D191:E191"/>
    <mergeCell ref="F191:G191"/>
    <mergeCell ref="D192:E192"/>
    <mergeCell ref="F192:G192"/>
    <mergeCell ref="D193:E193"/>
    <mergeCell ref="F193:G193"/>
    <mergeCell ref="A198:J198"/>
    <mergeCell ref="A194:J194"/>
    <mergeCell ref="D195:H195"/>
    <mergeCell ref="D196:E196"/>
    <mergeCell ref="F196:G196"/>
    <mergeCell ref="D197:E197"/>
    <mergeCell ref="F197:G197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42:H42"/>
    <mergeCell ref="D43:E43"/>
    <mergeCell ref="F43:G43"/>
    <mergeCell ref="D44:E44"/>
    <mergeCell ref="F44:G44"/>
    <mergeCell ref="D52:E52"/>
    <mergeCell ref="D53:E53"/>
    <mergeCell ref="D54:E54"/>
    <mergeCell ref="A55:J55"/>
    <mergeCell ref="D56:H56"/>
    <mergeCell ref="D57:H57"/>
    <mergeCell ref="D58:E58"/>
    <mergeCell ref="F58:G58"/>
    <mergeCell ref="A45:J45"/>
    <mergeCell ref="B46:J46"/>
    <mergeCell ref="D47:H47"/>
    <mergeCell ref="D48:H48"/>
    <mergeCell ref="D49:E49"/>
    <mergeCell ref="D50:E50"/>
    <mergeCell ref="D51:E51"/>
    <mergeCell ref="I64:J64"/>
    <mergeCell ref="I65:J65"/>
    <mergeCell ref="D59:E59"/>
    <mergeCell ref="F59:G59"/>
    <mergeCell ref="A60:J60"/>
    <mergeCell ref="D61:H61"/>
    <mergeCell ref="D62:H62"/>
    <mergeCell ref="D63:E63"/>
    <mergeCell ref="F64:H64"/>
    <mergeCell ref="F65:H65"/>
    <mergeCell ref="D76:E76"/>
    <mergeCell ref="D77:E77"/>
    <mergeCell ref="A78:J78"/>
    <mergeCell ref="D79:H79"/>
    <mergeCell ref="D80:H80"/>
    <mergeCell ref="D81:E81"/>
    <mergeCell ref="D82:E82"/>
    <mergeCell ref="A83:J83"/>
    <mergeCell ref="I66:J66"/>
    <mergeCell ref="A68:J68"/>
    <mergeCell ref="B69:J69"/>
    <mergeCell ref="D70:H70"/>
    <mergeCell ref="D71:H71"/>
    <mergeCell ref="D72:E72"/>
    <mergeCell ref="D73:E73"/>
    <mergeCell ref="F66:H66"/>
    <mergeCell ref="D74:E74"/>
    <mergeCell ref="D75:E75"/>
    <mergeCell ref="D98:E98"/>
    <mergeCell ref="D99:E99"/>
    <mergeCell ref="D93:H93"/>
    <mergeCell ref="D94:H94"/>
    <mergeCell ref="D95:E95"/>
    <mergeCell ref="D116:E116"/>
    <mergeCell ref="D123:E123"/>
    <mergeCell ref="D84:H84"/>
    <mergeCell ref="D85:H85"/>
    <mergeCell ref="D86:E86"/>
    <mergeCell ref="D87:E87"/>
    <mergeCell ref="D88:E88"/>
    <mergeCell ref="D89:E89"/>
    <mergeCell ref="A92:J92"/>
    <mergeCell ref="D90:E90"/>
    <mergeCell ref="D91:E91"/>
    <mergeCell ref="D100:E100"/>
    <mergeCell ref="D96:E96"/>
    <mergeCell ref="D97:E97"/>
    <mergeCell ref="D121:H121"/>
    <mergeCell ref="D122:E122"/>
    <mergeCell ref="D102:H102"/>
    <mergeCell ref="D103:E103"/>
    <mergeCell ref="D104:E104"/>
    <mergeCell ref="D149:H149"/>
    <mergeCell ref="B151:C151"/>
    <mergeCell ref="B152:C152"/>
    <mergeCell ref="B137:C137"/>
    <mergeCell ref="B138:C138"/>
    <mergeCell ref="B139:C139"/>
    <mergeCell ref="D150:H150"/>
    <mergeCell ref="A153:J153"/>
    <mergeCell ref="D164:E164"/>
    <mergeCell ref="D163:E163"/>
    <mergeCell ref="D159:E159"/>
    <mergeCell ref="D160:E160"/>
    <mergeCell ref="D162:E162"/>
    <mergeCell ref="D166:E166"/>
    <mergeCell ref="A110:J110"/>
    <mergeCell ref="D101:H101"/>
    <mergeCell ref="D172:H172"/>
    <mergeCell ref="A173:J173"/>
    <mergeCell ref="D161:E161"/>
    <mergeCell ref="D165:E165"/>
    <mergeCell ref="D167:E167"/>
    <mergeCell ref="D168:E168"/>
    <mergeCell ref="B140:C140"/>
    <mergeCell ref="B141:C141"/>
    <mergeCell ref="B142:C142"/>
    <mergeCell ref="D128:E128"/>
    <mergeCell ref="D129:E129"/>
    <mergeCell ref="D130:E130"/>
    <mergeCell ref="B143:C143"/>
    <mergeCell ref="B144:C144"/>
    <mergeCell ref="B145:C145"/>
    <mergeCell ref="D115:E115"/>
    <mergeCell ref="D124:E124"/>
    <mergeCell ref="D126:E126"/>
    <mergeCell ref="D127:E127"/>
    <mergeCell ref="A133:J133"/>
    <mergeCell ref="D120:H120"/>
    <mergeCell ref="A222:J222"/>
    <mergeCell ref="D252:E252"/>
    <mergeCell ref="F252:G252"/>
    <mergeCell ref="D253:E253"/>
    <mergeCell ref="F253:G253"/>
    <mergeCell ref="A256:J256"/>
    <mergeCell ref="D259:E259"/>
    <mergeCell ref="F259:G259"/>
    <mergeCell ref="D254:E254"/>
    <mergeCell ref="F254:G254"/>
    <mergeCell ref="D255:E255"/>
    <mergeCell ref="F255:G255"/>
    <mergeCell ref="F234:G234"/>
    <mergeCell ref="F229:G229"/>
    <mergeCell ref="D230:E230"/>
    <mergeCell ref="F230:G230"/>
    <mergeCell ref="D232:H232"/>
    <mergeCell ref="F227:G227"/>
    <mergeCell ref="D225:E225"/>
    <mergeCell ref="F225:G225"/>
    <mergeCell ref="A231:J231"/>
    <mergeCell ref="D226:E226"/>
    <mergeCell ref="F226:G226"/>
    <mergeCell ref="D260:E260"/>
    <mergeCell ref="F260:G260"/>
    <mergeCell ref="D261:E261"/>
    <mergeCell ref="F261:G261"/>
    <mergeCell ref="D262:E262"/>
    <mergeCell ref="F262:G262"/>
    <mergeCell ref="D263:E263"/>
    <mergeCell ref="F263:G263"/>
    <mergeCell ref="D264:E264"/>
    <mergeCell ref="F264:G264"/>
    <mergeCell ref="D265:E265"/>
    <mergeCell ref="F265:G265"/>
    <mergeCell ref="D258:H258"/>
    <mergeCell ref="D257:H257"/>
    <mergeCell ref="A282:J282"/>
    <mergeCell ref="B283:J283"/>
    <mergeCell ref="A284:J284"/>
    <mergeCell ref="D285:H285"/>
    <mergeCell ref="D286:H286"/>
    <mergeCell ref="D271:E271"/>
    <mergeCell ref="F271:G271"/>
    <mergeCell ref="D272:E272"/>
    <mergeCell ref="F272:G272"/>
    <mergeCell ref="D273:E273"/>
    <mergeCell ref="F273:G273"/>
    <mergeCell ref="D274:E274"/>
    <mergeCell ref="F274:G274"/>
    <mergeCell ref="D275:E275"/>
    <mergeCell ref="F275:G275"/>
    <mergeCell ref="A276:J276"/>
    <mergeCell ref="D277:H277"/>
    <mergeCell ref="D278:H278"/>
    <mergeCell ref="D279:E279"/>
    <mergeCell ref="F279:G279"/>
    <mergeCell ref="A287:J287"/>
    <mergeCell ref="D288:H288"/>
    <mergeCell ref="D289:H289"/>
    <mergeCell ref="A290:J290"/>
    <mergeCell ref="D291:H291"/>
    <mergeCell ref="D292:H292"/>
    <mergeCell ref="A293:J293"/>
    <mergeCell ref="D294:H294"/>
    <mergeCell ref="D295:H295"/>
    <mergeCell ref="A296:J296"/>
    <mergeCell ref="D297:H297"/>
    <mergeCell ref="D298:H298"/>
    <mergeCell ref="A299:J299"/>
    <mergeCell ref="D300:H300"/>
    <mergeCell ref="D301:H301"/>
    <mergeCell ref="A302:J302"/>
    <mergeCell ref="D303:H303"/>
    <mergeCell ref="D304:H304"/>
    <mergeCell ref="A305:J305"/>
    <mergeCell ref="D306:H306"/>
    <mergeCell ref="D307:H307"/>
    <mergeCell ref="A308:J308"/>
    <mergeCell ref="D309:H309"/>
    <mergeCell ref="D310:H310"/>
    <mergeCell ref="A311:J311"/>
    <mergeCell ref="D312:H312"/>
    <mergeCell ref="D313:H313"/>
    <mergeCell ref="A314:J314"/>
    <mergeCell ref="D315:H315"/>
    <mergeCell ref="D316:H316"/>
    <mergeCell ref="A317:J317"/>
    <mergeCell ref="D318:H318"/>
    <mergeCell ref="D319:H319"/>
    <mergeCell ref="A320:J320"/>
    <mergeCell ref="D321:H321"/>
    <mergeCell ref="D322:H322"/>
    <mergeCell ref="A323:J323"/>
    <mergeCell ref="D324:H324"/>
    <mergeCell ref="D325:H325"/>
    <mergeCell ref="A326:J326"/>
    <mergeCell ref="D327:H327"/>
    <mergeCell ref="D328:H328"/>
    <mergeCell ref="A329:J329"/>
    <mergeCell ref="D330:H330"/>
    <mergeCell ref="D331:H331"/>
    <mergeCell ref="A332:J332"/>
    <mergeCell ref="D333:H333"/>
    <mergeCell ref="D334:H334"/>
    <mergeCell ref="A335:J335"/>
    <mergeCell ref="D336:H336"/>
    <mergeCell ref="D337:H337"/>
    <mergeCell ref="A338:J338"/>
    <mergeCell ref="D339:H339"/>
    <mergeCell ref="D340:H340"/>
    <mergeCell ref="A341:J341"/>
    <mergeCell ref="D342:H342"/>
    <mergeCell ref="D343:H343"/>
    <mergeCell ref="A344:J344"/>
    <mergeCell ref="D345:H345"/>
    <mergeCell ref="D346:H346"/>
    <mergeCell ref="A347:J347"/>
    <mergeCell ref="D348:H348"/>
    <mergeCell ref="D349:H349"/>
    <mergeCell ref="A350:J350"/>
    <mergeCell ref="D351:H351"/>
    <mergeCell ref="D352:H352"/>
    <mergeCell ref="A353:J353"/>
    <mergeCell ref="D354:H354"/>
    <mergeCell ref="D355:H355"/>
    <mergeCell ref="A356:J356"/>
    <mergeCell ref="D357:H357"/>
    <mergeCell ref="D358:H358"/>
    <mergeCell ref="A359:J359"/>
    <mergeCell ref="D360:H360"/>
    <mergeCell ref="D361:H361"/>
    <mergeCell ref="A362:J362"/>
    <mergeCell ref="D363:H363"/>
    <mergeCell ref="D364:H364"/>
    <mergeCell ref="A365:J365"/>
    <mergeCell ref="D366:H366"/>
    <mergeCell ref="D367:H367"/>
    <mergeCell ref="A368:J368"/>
    <mergeCell ref="D369:H369"/>
    <mergeCell ref="D370:H370"/>
    <mergeCell ref="A371:J371"/>
    <mergeCell ref="D372:H372"/>
    <mergeCell ref="D373:H373"/>
    <mergeCell ref="A374:J374"/>
    <mergeCell ref="D375:H375"/>
    <mergeCell ref="D376:H376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86:J386"/>
    <mergeCell ref="D387:H387"/>
    <mergeCell ref="D388:H388"/>
    <mergeCell ref="A389:J389"/>
    <mergeCell ref="D390:H390"/>
    <mergeCell ref="D391:H391"/>
    <mergeCell ref="A392:J392"/>
    <mergeCell ref="D393:H393"/>
    <mergeCell ref="D394:H394"/>
    <mergeCell ref="A395:J395"/>
    <mergeCell ref="D396:H396"/>
    <mergeCell ref="D397:H397"/>
    <mergeCell ref="A398:J398"/>
    <mergeCell ref="D399:H399"/>
    <mergeCell ref="D400:H400"/>
    <mergeCell ref="A401:J401"/>
    <mergeCell ref="D402:H402"/>
    <mergeCell ref="D403:H403"/>
    <mergeCell ref="A404:J404"/>
    <mergeCell ref="D405:H405"/>
    <mergeCell ref="D406:H406"/>
    <mergeCell ref="A407:J407"/>
    <mergeCell ref="D408:H408"/>
    <mergeCell ref="D409:H409"/>
    <mergeCell ref="A410:J410"/>
    <mergeCell ref="D411:H411"/>
    <mergeCell ref="D412:H412"/>
    <mergeCell ref="A413:J413"/>
    <mergeCell ref="D414:H414"/>
    <mergeCell ref="D415:H415"/>
    <mergeCell ref="A416:J416"/>
    <mergeCell ref="D417:H417"/>
    <mergeCell ref="D418:H418"/>
    <mergeCell ref="A419:J419"/>
    <mergeCell ref="D420:H420"/>
    <mergeCell ref="D421:H421"/>
    <mergeCell ref="A422:J422"/>
    <mergeCell ref="D423:H423"/>
    <mergeCell ref="D424:H424"/>
    <mergeCell ref="A425:J425"/>
    <mergeCell ref="D426:H426"/>
    <mergeCell ref="D427:H427"/>
    <mergeCell ref="A428:J428"/>
    <mergeCell ref="D429:H429"/>
    <mergeCell ref="D430:H430"/>
    <mergeCell ref="A431:J431"/>
    <mergeCell ref="D432:H432"/>
    <mergeCell ref="D433:H433"/>
    <mergeCell ref="A437:J437"/>
    <mergeCell ref="B438:J438"/>
    <mergeCell ref="A439:J439"/>
    <mergeCell ref="D440:H440"/>
    <mergeCell ref="D441:H441"/>
    <mergeCell ref="A442:J442"/>
    <mergeCell ref="D443:H443"/>
    <mergeCell ref="D444:H444"/>
    <mergeCell ref="A445:J445"/>
    <mergeCell ref="B446:C446"/>
    <mergeCell ref="D446:H446"/>
    <mergeCell ref="D447:H447"/>
    <mergeCell ref="A448:J448"/>
    <mergeCell ref="D449:H449"/>
    <mergeCell ref="D450:H450"/>
    <mergeCell ref="A451:J451"/>
    <mergeCell ref="D452:H452"/>
    <mergeCell ref="D453:H453"/>
    <mergeCell ref="A454:J454"/>
    <mergeCell ref="D455:H455"/>
    <mergeCell ref="D456:H456"/>
    <mergeCell ref="A457:J457"/>
    <mergeCell ref="D458:H458"/>
    <mergeCell ref="D459:H459"/>
    <mergeCell ref="A460:J460"/>
    <mergeCell ref="D461:H461"/>
    <mergeCell ref="D462:H462"/>
    <mergeCell ref="A463:J463"/>
    <mergeCell ref="D464:H464"/>
    <mergeCell ref="D465:H465"/>
    <mergeCell ref="A466:J466"/>
    <mergeCell ref="D467:H467"/>
    <mergeCell ref="D468:H468"/>
    <mergeCell ref="A469:J469"/>
    <mergeCell ref="D470:H470"/>
    <mergeCell ref="D471:H471"/>
    <mergeCell ref="A472:J472"/>
    <mergeCell ref="B473:C473"/>
    <mergeCell ref="D473:H473"/>
    <mergeCell ref="D474:H474"/>
    <mergeCell ref="A475:J475"/>
    <mergeCell ref="B476:C476"/>
    <mergeCell ref="D476:H476"/>
    <mergeCell ref="D477:H477"/>
    <mergeCell ref="A478:J478"/>
    <mergeCell ref="D479:H479"/>
    <mergeCell ref="D480:H480"/>
    <mergeCell ref="A481:J481"/>
    <mergeCell ref="D482:H482"/>
    <mergeCell ref="D483:H483"/>
    <mergeCell ref="A484:J484"/>
    <mergeCell ref="D485:H485"/>
    <mergeCell ref="D486:H486"/>
    <mergeCell ref="A487:J487"/>
    <mergeCell ref="D488:H488"/>
    <mergeCell ref="D489:H489"/>
    <mergeCell ref="A490:J490"/>
    <mergeCell ref="D491:H491"/>
    <mergeCell ref="D492:H492"/>
    <mergeCell ref="A493:J493"/>
    <mergeCell ref="B494:C494"/>
    <mergeCell ref="D494:H494"/>
    <mergeCell ref="D495:H495"/>
    <mergeCell ref="A496:J496"/>
    <mergeCell ref="B497:C497"/>
    <mergeCell ref="D497:H497"/>
    <mergeCell ref="D498:H498"/>
    <mergeCell ref="A499:J499"/>
    <mergeCell ref="D500:H500"/>
    <mergeCell ref="D501:H501"/>
    <mergeCell ref="A502:J502"/>
    <mergeCell ref="D503:H503"/>
    <mergeCell ref="D504:H504"/>
    <mergeCell ref="A505:J505"/>
    <mergeCell ref="D506:H506"/>
    <mergeCell ref="D507:H507"/>
    <mergeCell ref="A508:J508"/>
    <mergeCell ref="B509:C509"/>
    <mergeCell ref="D509:H509"/>
    <mergeCell ref="D510:H510"/>
    <mergeCell ref="A511:J511"/>
    <mergeCell ref="B512:C512"/>
    <mergeCell ref="D512:H512"/>
    <mergeCell ref="D513:H513"/>
    <mergeCell ref="A514:J514"/>
    <mergeCell ref="D515:H515"/>
    <mergeCell ref="D516:H516"/>
    <mergeCell ref="A517:J517"/>
    <mergeCell ref="D518:H518"/>
    <mergeCell ref="D519:H519"/>
    <mergeCell ref="A520:J520"/>
    <mergeCell ref="D521:H521"/>
    <mergeCell ref="D522:H522"/>
    <mergeCell ref="A523:J523"/>
    <mergeCell ref="B524:C524"/>
    <mergeCell ref="D524:H524"/>
    <mergeCell ref="D525:H525"/>
    <mergeCell ref="A526:J526"/>
    <mergeCell ref="A535:J535"/>
    <mergeCell ref="B539:J539"/>
    <mergeCell ref="A540:J540"/>
    <mergeCell ref="D541:H541"/>
    <mergeCell ref="D542:H542"/>
    <mergeCell ref="A543:J543"/>
    <mergeCell ref="D544:H544"/>
    <mergeCell ref="D545:H545"/>
    <mergeCell ref="B527:C527"/>
    <mergeCell ref="D527:H527"/>
    <mergeCell ref="D528:H528"/>
    <mergeCell ref="A529:J529"/>
    <mergeCell ref="B530:C530"/>
    <mergeCell ref="D530:H530"/>
    <mergeCell ref="D531:H531"/>
    <mergeCell ref="A532:J532"/>
    <mergeCell ref="B533:C533"/>
    <mergeCell ref="D533:H533"/>
    <mergeCell ref="D565:H565"/>
    <mergeCell ref="D566:H566"/>
    <mergeCell ref="A567:J567"/>
    <mergeCell ref="D633:E633"/>
    <mergeCell ref="F633:G633"/>
    <mergeCell ref="A619:J619"/>
    <mergeCell ref="D624:H624"/>
    <mergeCell ref="A434:J434"/>
    <mergeCell ref="D435:H435"/>
    <mergeCell ref="D436:H436"/>
    <mergeCell ref="B536:C536"/>
    <mergeCell ref="D536:H536"/>
    <mergeCell ref="D537:H537"/>
    <mergeCell ref="A538:J538"/>
    <mergeCell ref="B568:J568"/>
    <mergeCell ref="B620:J620"/>
    <mergeCell ref="D630:H630"/>
    <mergeCell ref="D632:E632"/>
    <mergeCell ref="F632:G632"/>
    <mergeCell ref="A569:J569"/>
    <mergeCell ref="A555:J555"/>
    <mergeCell ref="D556:H556"/>
    <mergeCell ref="D557:H557"/>
    <mergeCell ref="A558:J558"/>
    <mergeCell ref="D125:E125"/>
    <mergeCell ref="A111:J111"/>
    <mergeCell ref="A112:J112"/>
    <mergeCell ref="A113:J113"/>
    <mergeCell ref="A117:J117"/>
    <mergeCell ref="B118:J118"/>
    <mergeCell ref="A119:J119"/>
    <mergeCell ref="D114:H114"/>
    <mergeCell ref="A564:J564"/>
    <mergeCell ref="D559:H559"/>
    <mergeCell ref="D560:H560"/>
    <mergeCell ref="A561:J561"/>
    <mergeCell ref="D562:H562"/>
    <mergeCell ref="D563:H563"/>
    <mergeCell ref="A546:J546"/>
    <mergeCell ref="D547:H547"/>
    <mergeCell ref="D548:H548"/>
    <mergeCell ref="A549:J549"/>
    <mergeCell ref="D550:H550"/>
    <mergeCell ref="D551:H551"/>
    <mergeCell ref="A552:J552"/>
    <mergeCell ref="D553:H553"/>
    <mergeCell ref="D554:H554"/>
    <mergeCell ref="D534:H534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69"/>
  <sheetViews>
    <sheetView view="pageBreakPreview" zoomScale="85" zoomScaleNormal="85" zoomScaleSheetLayoutView="85" workbookViewId="0">
      <selection activeCell="A7" sqref="A7:K7"/>
    </sheetView>
  </sheetViews>
  <sheetFormatPr defaultRowHeight="15" x14ac:dyDescent="0.25"/>
  <cols>
    <col min="1" max="1" width="8.7109375" style="127"/>
    <col min="2" max="2" width="10.85546875" style="127" bestFit="1" customWidth="1"/>
    <col min="3" max="3" width="7.140625" style="127" bestFit="1" customWidth="1"/>
    <col min="4" max="4" width="26.85546875" style="127"/>
    <col min="5" max="5" width="6.42578125" style="127"/>
    <col min="6" max="6" width="16.7109375" style="127"/>
    <col min="7" max="7" width="7.7109375" style="127"/>
    <col min="8" max="8" width="9.5703125" style="269" bestFit="1" customWidth="1"/>
    <col min="9" max="9" width="11.85546875" style="206" bestFit="1" customWidth="1"/>
    <col min="10" max="10" width="11.5703125" style="127"/>
    <col min="11" max="11" width="13.85546875" style="127" bestFit="1" customWidth="1"/>
    <col min="12" max="12" width="9.42578125" customWidth="1"/>
    <col min="13" max="1025" width="8.7109375"/>
  </cols>
  <sheetData>
    <row r="1" spans="1:16" ht="115.5" customHeight="1" x14ac:dyDescent="0.25">
      <c r="A1" s="526" t="s">
        <v>77</v>
      </c>
      <c r="B1" s="527"/>
      <c r="C1" s="527"/>
      <c r="D1" s="527"/>
      <c r="E1" s="527"/>
      <c r="F1" s="527"/>
      <c r="G1" s="527"/>
      <c r="H1" s="527"/>
      <c r="I1" s="527"/>
      <c r="J1" s="527"/>
      <c r="K1" s="528"/>
    </row>
    <row r="2" spans="1:16" ht="15" customHeight="1" x14ac:dyDescent="0.25">
      <c r="A2" s="478" t="s">
        <v>707</v>
      </c>
      <c r="B2" s="479"/>
      <c r="C2" s="479"/>
      <c r="D2" s="479"/>
      <c r="E2" s="479"/>
      <c r="F2" s="479"/>
      <c r="G2" s="479"/>
      <c r="H2" s="479"/>
      <c r="I2" s="480" t="s">
        <v>685</v>
      </c>
      <c r="J2" s="481" t="s">
        <v>79</v>
      </c>
      <c r="K2" s="482"/>
    </row>
    <row r="3" spans="1:16" ht="15" customHeight="1" x14ac:dyDescent="0.25">
      <c r="A3" s="478"/>
      <c r="B3" s="479"/>
      <c r="C3" s="479"/>
      <c r="D3" s="479"/>
      <c r="E3" s="479"/>
      <c r="F3" s="479"/>
      <c r="G3" s="479"/>
      <c r="H3" s="479"/>
      <c r="I3" s="480"/>
      <c r="J3" s="481">
        <v>42313</v>
      </c>
      <c r="K3" s="482"/>
    </row>
    <row r="4" spans="1:16" ht="16.5" x14ac:dyDescent="0.25">
      <c r="A4" s="529" t="s">
        <v>80</v>
      </c>
      <c r="B4" s="530"/>
      <c r="C4" s="530"/>
      <c r="D4" s="530"/>
      <c r="E4" s="530"/>
      <c r="F4" s="530"/>
      <c r="G4" s="530"/>
      <c r="H4" s="530"/>
      <c r="I4" s="530"/>
      <c r="J4" s="530"/>
      <c r="K4" s="531"/>
    </row>
    <row r="5" spans="1:16" ht="16.5" x14ac:dyDescent="0.25">
      <c r="A5" s="529" t="s">
        <v>81</v>
      </c>
      <c r="B5" s="530"/>
      <c r="C5" s="530"/>
      <c r="D5" s="530"/>
      <c r="E5" s="530"/>
      <c r="F5" s="530"/>
      <c r="G5" s="530"/>
      <c r="H5" s="530"/>
      <c r="I5" s="530"/>
      <c r="J5" s="530"/>
      <c r="K5" s="531"/>
      <c r="M5" s="26"/>
      <c r="N5" s="26"/>
      <c r="O5" s="26"/>
      <c r="P5" s="26"/>
    </row>
    <row r="6" spans="1:16" ht="16.5" x14ac:dyDescent="0.25">
      <c r="A6" s="529" t="s">
        <v>82</v>
      </c>
      <c r="B6" s="530"/>
      <c r="C6" s="530"/>
      <c r="D6" s="530"/>
      <c r="E6" s="530"/>
      <c r="F6" s="530"/>
      <c r="G6" s="530"/>
      <c r="H6" s="530"/>
      <c r="I6" s="530"/>
      <c r="J6" s="530"/>
      <c r="K6" s="531"/>
      <c r="M6" s="525"/>
      <c r="N6" s="520"/>
      <c r="O6" s="520"/>
      <c r="P6" s="26"/>
    </row>
    <row r="7" spans="1:16" ht="85.5" customHeight="1" x14ac:dyDescent="0.25">
      <c r="A7" s="521" t="s">
        <v>507</v>
      </c>
      <c r="B7" s="522"/>
      <c r="C7" s="522"/>
      <c r="D7" s="522"/>
      <c r="E7" s="522"/>
      <c r="F7" s="522"/>
      <c r="G7" s="522"/>
      <c r="H7" s="522"/>
      <c r="I7" s="522"/>
      <c r="J7" s="522"/>
      <c r="K7" s="523"/>
      <c r="M7" s="525"/>
      <c r="N7" s="520"/>
      <c r="O7" s="520"/>
      <c r="P7" s="26"/>
    </row>
    <row r="8" spans="1:16" ht="33" x14ac:dyDescent="0.25">
      <c r="A8" s="141" t="s">
        <v>83</v>
      </c>
      <c r="B8" s="142" t="s">
        <v>84</v>
      </c>
      <c r="C8" s="142" t="s">
        <v>85</v>
      </c>
      <c r="D8" s="524" t="s">
        <v>86</v>
      </c>
      <c r="E8" s="524"/>
      <c r="F8" s="524"/>
      <c r="G8" s="140" t="s">
        <v>87</v>
      </c>
      <c r="H8" s="267" t="s">
        <v>88</v>
      </c>
      <c r="I8" s="203" t="s">
        <v>89</v>
      </c>
      <c r="J8" s="131" t="s">
        <v>90</v>
      </c>
      <c r="K8" s="132" t="s">
        <v>91</v>
      </c>
      <c r="M8" s="26"/>
      <c r="N8" s="26"/>
      <c r="O8" s="26"/>
      <c r="P8" s="26"/>
    </row>
    <row r="9" spans="1:16" x14ac:dyDescent="0.25">
      <c r="A9" s="133" t="s">
        <v>92</v>
      </c>
      <c r="B9" s="500" t="s">
        <v>93</v>
      </c>
      <c r="C9" s="500"/>
      <c r="D9" s="500"/>
      <c r="E9" s="500"/>
      <c r="F9" s="500"/>
      <c r="G9" s="500"/>
      <c r="H9" s="500"/>
      <c r="I9" s="500"/>
      <c r="J9" s="500"/>
      <c r="K9" s="501"/>
    </row>
    <row r="10" spans="1:16" ht="68.25" customHeight="1" x14ac:dyDescent="0.25">
      <c r="A10" s="210" t="s">
        <v>94</v>
      </c>
      <c r="B10" s="355" t="s">
        <v>301</v>
      </c>
      <c r="C10" s="211" t="s">
        <v>95</v>
      </c>
      <c r="D10" s="512" t="s">
        <v>509</v>
      </c>
      <c r="E10" s="507"/>
      <c r="F10" s="507"/>
      <c r="G10" s="208" t="str">
        <f>'MEMÓRIA DE CÁLCULO'!I11</f>
        <v>m²</v>
      </c>
      <c r="H10" s="268">
        <v>12</v>
      </c>
      <c r="I10" s="204">
        <v>316.22000000000003</v>
      </c>
      <c r="J10" s="204">
        <f t="shared" ref="J10:J16" si="0">ROUNDDOWN(I10*$L$10,2)</f>
        <v>393.37</v>
      </c>
      <c r="K10" s="209">
        <f t="shared" ref="K10:K16" si="1">ROUNDDOWN(H10*J10,2)</f>
        <v>4720.4399999999996</v>
      </c>
      <c r="L10">
        <v>1.244</v>
      </c>
    </row>
    <row r="11" spans="1:16" ht="20.25" customHeight="1" x14ac:dyDescent="0.25">
      <c r="A11" s="210" t="s">
        <v>96</v>
      </c>
      <c r="B11" s="355" t="s">
        <v>306</v>
      </c>
      <c r="C11" s="211" t="s">
        <v>95</v>
      </c>
      <c r="D11" s="512" t="s">
        <v>510</v>
      </c>
      <c r="E11" s="507"/>
      <c r="F11" s="507"/>
      <c r="G11" s="208" t="str">
        <f>'MEMÓRIA DE CÁLCULO'!I16</f>
        <v>m²</v>
      </c>
      <c r="H11" s="268">
        <v>8</v>
      </c>
      <c r="I11" s="204">
        <v>279.64</v>
      </c>
      <c r="J11" s="204">
        <f t="shared" si="0"/>
        <v>347.87</v>
      </c>
      <c r="K11" s="209">
        <f t="shared" si="1"/>
        <v>2782.96</v>
      </c>
    </row>
    <row r="12" spans="1:16" ht="51" customHeight="1" x14ac:dyDescent="0.25">
      <c r="A12" s="210" t="s">
        <v>97</v>
      </c>
      <c r="B12" s="355" t="s">
        <v>307</v>
      </c>
      <c r="C12" s="211" t="s">
        <v>95</v>
      </c>
      <c r="D12" s="512" t="s">
        <v>511</v>
      </c>
      <c r="E12" s="507"/>
      <c r="F12" s="507"/>
      <c r="G12" s="208" t="str">
        <f>'MEMÓRIA DE CÁLCULO'!I21</f>
        <v>m²</v>
      </c>
      <c r="H12" s="268">
        <v>266.75</v>
      </c>
      <c r="I12" s="204">
        <v>11.95</v>
      </c>
      <c r="J12" s="204">
        <f t="shared" si="0"/>
        <v>14.86</v>
      </c>
      <c r="K12" s="209">
        <f t="shared" si="1"/>
        <v>3963.9</v>
      </c>
    </row>
    <row r="13" spans="1:16" ht="47.25" customHeight="1" x14ac:dyDescent="0.25">
      <c r="A13" s="210" t="s">
        <v>98</v>
      </c>
      <c r="B13" s="355" t="s">
        <v>308</v>
      </c>
      <c r="C13" s="211" t="s">
        <v>95</v>
      </c>
      <c r="D13" s="507" t="s">
        <v>99</v>
      </c>
      <c r="E13" s="507"/>
      <c r="F13" s="507"/>
      <c r="G13" s="208" t="str">
        <f>'MEMÓRIA DE CÁLCULO'!I26</f>
        <v>m²</v>
      </c>
      <c r="H13" s="268">
        <v>148.05000000000001</v>
      </c>
      <c r="I13" s="204">
        <v>49.51</v>
      </c>
      <c r="J13" s="204">
        <f t="shared" si="0"/>
        <v>61.59</v>
      </c>
      <c r="K13" s="209">
        <f t="shared" si="1"/>
        <v>9118.39</v>
      </c>
    </row>
    <row r="14" spans="1:16" s="27" customFormat="1" ht="62.25" customHeight="1" x14ac:dyDescent="0.25">
      <c r="A14" s="210" t="s">
        <v>100</v>
      </c>
      <c r="B14" s="355">
        <v>20812</v>
      </c>
      <c r="C14" s="353" t="s">
        <v>424</v>
      </c>
      <c r="D14" s="507" t="s">
        <v>101</v>
      </c>
      <c r="E14" s="507"/>
      <c r="F14" s="507"/>
      <c r="G14" s="208" t="str">
        <f>'MEMÓRIA DE CÁLCULO'!I31</f>
        <v>und</v>
      </c>
      <c r="H14" s="268">
        <v>1</v>
      </c>
      <c r="I14" s="204">
        <v>17.350000000000001</v>
      </c>
      <c r="J14" s="204">
        <f t="shared" si="0"/>
        <v>21.58</v>
      </c>
      <c r="K14" s="209">
        <f t="shared" si="1"/>
        <v>21.58</v>
      </c>
    </row>
    <row r="15" spans="1:16" s="27" customFormat="1" ht="51.75" customHeight="1" x14ac:dyDescent="0.25">
      <c r="A15" s="210" t="s">
        <v>102</v>
      </c>
      <c r="B15" s="355">
        <v>20714</v>
      </c>
      <c r="C15" s="353" t="s">
        <v>424</v>
      </c>
      <c r="D15" s="507" t="s">
        <v>103</v>
      </c>
      <c r="E15" s="507"/>
      <c r="F15" s="507"/>
      <c r="G15" s="208" t="str">
        <f>'MEMÓRIA DE CÁLCULO'!I36</f>
        <v>und</v>
      </c>
      <c r="H15" s="268">
        <v>1</v>
      </c>
      <c r="I15" s="204">
        <v>216.07</v>
      </c>
      <c r="J15" s="204">
        <f t="shared" si="0"/>
        <v>268.79000000000002</v>
      </c>
      <c r="K15" s="209">
        <f t="shared" si="1"/>
        <v>268.79000000000002</v>
      </c>
      <c r="L15" s="28"/>
    </row>
    <row r="16" spans="1:16" ht="33.75" customHeight="1" x14ac:dyDescent="0.25">
      <c r="A16" s="210" t="s">
        <v>104</v>
      </c>
      <c r="B16" s="355" t="s">
        <v>315</v>
      </c>
      <c r="C16" s="211" t="s">
        <v>95</v>
      </c>
      <c r="D16" s="507" t="s">
        <v>105</v>
      </c>
      <c r="E16" s="507"/>
      <c r="F16" s="507"/>
      <c r="G16" s="208" t="str">
        <f>'MEMÓRIA DE CÁLCULO'!I41</f>
        <v>m²</v>
      </c>
      <c r="H16" s="268">
        <v>266.75</v>
      </c>
      <c r="I16" s="204">
        <v>2.69</v>
      </c>
      <c r="J16" s="204">
        <f t="shared" si="0"/>
        <v>3.34</v>
      </c>
      <c r="K16" s="209">
        <f t="shared" si="1"/>
        <v>890.94</v>
      </c>
    </row>
    <row r="17" spans="1:12" x14ac:dyDescent="0.25">
      <c r="A17" s="518"/>
      <c r="B17" s="519"/>
      <c r="C17" s="519"/>
      <c r="D17" s="519"/>
      <c r="E17" s="519"/>
      <c r="F17" s="519"/>
      <c r="G17" s="519"/>
      <c r="H17" s="519"/>
      <c r="I17" s="515" t="s">
        <v>106</v>
      </c>
      <c r="J17" s="515"/>
      <c r="K17" s="134">
        <f>SUM(K10:K16)</f>
        <v>21767</v>
      </c>
    </row>
    <row r="18" spans="1:12" x14ac:dyDescent="0.25">
      <c r="A18" s="133" t="s">
        <v>107</v>
      </c>
      <c r="B18" s="500" t="s">
        <v>108</v>
      </c>
      <c r="C18" s="500"/>
      <c r="D18" s="500"/>
      <c r="E18" s="500"/>
      <c r="F18" s="500"/>
      <c r="G18" s="500"/>
      <c r="H18" s="500"/>
      <c r="I18" s="500"/>
      <c r="J18" s="500"/>
      <c r="K18" s="501"/>
    </row>
    <row r="19" spans="1:12" s="27" customFormat="1" ht="18" customHeight="1" x14ac:dyDescent="0.25">
      <c r="A19" s="210" t="s">
        <v>109</v>
      </c>
      <c r="B19" s="355" t="s">
        <v>316</v>
      </c>
      <c r="C19" s="211" t="s">
        <v>95</v>
      </c>
      <c r="D19" s="507" t="s">
        <v>110</v>
      </c>
      <c r="E19" s="507"/>
      <c r="F19" s="507"/>
      <c r="G19" s="208" t="str">
        <f>'MEMÓRIA DE CÁLCULO'!I47</f>
        <v>m³</v>
      </c>
      <c r="H19" s="268">
        <v>34.9895</v>
      </c>
      <c r="I19" s="204">
        <v>21.57</v>
      </c>
      <c r="J19" s="204">
        <f>ROUNDDOWN(I19*$L$10,2)</f>
        <v>26.83</v>
      </c>
      <c r="K19" s="209">
        <f>ROUNDDOWN(H19*J19,2)</f>
        <v>938.76</v>
      </c>
    </row>
    <row r="20" spans="1:12" s="27" customFormat="1" ht="18" customHeight="1" x14ac:dyDescent="0.25">
      <c r="A20" s="210" t="s">
        <v>111</v>
      </c>
      <c r="B20" s="355">
        <v>79482</v>
      </c>
      <c r="C20" s="211" t="s">
        <v>95</v>
      </c>
      <c r="D20" s="507" t="s">
        <v>112</v>
      </c>
      <c r="E20" s="507"/>
      <c r="F20" s="507"/>
      <c r="G20" s="208" t="str">
        <f>'MEMÓRIA DE CÁLCULO'!I56</f>
        <v>m³</v>
      </c>
      <c r="H20" s="268">
        <v>3.9460500000000001</v>
      </c>
      <c r="I20" s="204">
        <v>53.86</v>
      </c>
      <c r="J20" s="204">
        <f>ROUNDDOWN(I20*$L$10,2)</f>
        <v>67</v>
      </c>
      <c r="K20" s="209">
        <f>ROUNDDOWN(H20*J20,2)</f>
        <v>264.38</v>
      </c>
    </row>
    <row r="21" spans="1:12" s="27" customFormat="1" ht="18" customHeight="1" x14ac:dyDescent="0.25">
      <c r="A21" s="210" t="s">
        <v>113</v>
      </c>
      <c r="B21" s="355" t="s">
        <v>323</v>
      </c>
      <c r="C21" s="211" t="s">
        <v>95</v>
      </c>
      <c r="D21" s="507" t="s">
        <v>114</v>
      </c>
      <c r="E21" s="507"/>
      <c r="F21" s="507"/>
      <c r="G21" s="208" t="str">
        <f>'MEMÓRIA DE CÁLCULO'!I61</f>
        <v>m³</v>
      </c>
      <c r="H21" s="268">
        <v>18.899089999999998</v>
      </c>
      <c r="I21" s="204">
        <v>32.35</v>
      </c>
      <c r="J21" s="204">
        <f>ROUNDDOWN(I21*$L$10,2)</f>
        <v>40.24</v>
      </c>
      <c r="K21" s="209">
        <f>ROUNDDOWN(H21*J21,2)</f>
        <v>760.49</v>
      </c>
    </row>
    <row r="22" spans="1:12" x14ac:dyDescent="0.25">
      <c r="A22" s="518"/>
      <c r="B22" s="519"/>
      <c r="C22" s="519"/>
      <c r="D22" s="519"/>
      <c r="E22" s="519"/>
      <c r="F22" s="519"/>
      <c r="G22" s="519"/>
      <c r="H22" s="519"/>
      <c r="I22" s="515" t="s">
        <v>106</v>
      </c>
      <c r="J22" s="515"/>
      <c r="K22" s="134">
        <f>SUM(K19:K21)</f>
        <v>1963.6299999999999</v>
      </c>
    </row>
    <row r="23" spans="1:12" x14ac:dyDescent="0.25">
      <c r="A23" s="133" t="s">
        <v>115</v>
      </c>
      <c r="B23" s="500" t="s">
        <v>116</v>
      </c>
      <c r="C23" s="500"/>
      <c r="D23" s="500"/>
      <c r="E23" s="500"/>
      <c r="F23" s="500"/>
      <c r="G23" s="500"/>
      <c r="H23" s="500"/>
      <c r="I23" s="500"/>
      <c r="J23" s="500"/>
      <c r="K23" s="501"/>
    </row>
    <row r="24" spans="1:12" s="27" customFormat="1" ht="33.75" customHeight="1" x14ac:dyDescent="0.25">
      <c r="A24" s="210" t="s">
        <v>117</v>
      </c>
      <c r="B24" s="355" t="s">
        <v>342</v>
      </c>
      <c r="C24" s="211" t="s">
        <v>95</v>
      </c>
      <c r="D24" s="512" t="s">
        <v>512</v>
      </c>
      <c r="E24" s="507"/>
      <c r="F24" s="507"/>
      <c r="G24" s="208" t="str">
        <f>'MEMÓRIA DE CÁLCULO'!I70</f>
        <v>m²</v>
      </c>
      <c r="H24" s="268">
        <v>35.844500000000004</v>
      </c>
      <c r="I24" s="204">
        <v>15.57</v>
      </c>
      <c r="J24" s="204">
        <f t="shared" ref="J24:J29" si="2">ROUNDDOWN(I24*$L$10,2)</f>
        <v>19.36</v>
      </c>
      <c r="K24" s="209">
        <f t="shared" ref="K24:K27" si="3">ROUNDDOWN(H24*J24,2)</f>
        <v>693.94</v>
      </c>
    </row>
    <row r="25" spans="1:12" s="27" customFormat="1" ht="36" customHeight="1" x14ac:dyDescent="0.25">
      <c r="A25" s="210" t="s">
        <v>118</v>
      </c>
      <c r="B25" s="355">
        <v>5651</v>
      </c>
      <c r="C25" s="211" t="s">
        <v>95</v>
      </c>
      <c r="D25" s="512" t="s">
        <v>513</v>
      </c>
      <c r="E25" s="507"/>
      <c r="F25" s="507"/>
      <c r="G25" s="208" t="str">
        <f>'MEMÓRIA DE CÁLCULO'!I79</f>
        <v>m²</v>
      </c>
      <c r="H25" s="268">
        <v>33.92</v>
      </c>
      <c r="I25" s="204">
        <v>36.89</v>
      </c>
      <c r="J25" s="204">
        <f t="shared" si="2"/>
        <v>45.89</v>
      </c>
      <c r="K25" s="209">
        <f t="shared" si="3"/>
        <v>1556.58</v>
      </c>
    </row>
    <row r="26" spans="1:12" s="27" customFormat="1" ht="45" customHeight="1" x14ac:dyDescent="0.25">
      <c r="A26" s="210" t="s">
        <v>119</v>
      </c>
      <c r="B26" s="355" t="s">
        <v>655</v>
      </c>
      <c r="C26" s="211" t="s">
        <v>95</v>
      </c>
      <c r="D26" s="512" t="s">
        <v>654</v>
      </c>
      <c r="E26" s="507"/>
      <c r="F26" s="507"/>
      <c r="G26" s="208" t="str">
        <f>'MEMÓRIA DE CÁLCULO'!I84</f>
        <v>m³</v>
      </c>
      <c r="H26" s="268">
        <v>16.090410000000002</v>
      </c>
      <c r="I26" s="204">
        <v>274.93</v>
      </c>
      <c r="J26" s="204">
        <f t="shared" si="2"/>
        <v>342.01</v>
      </c>
      <c r="K26" s="209">
        <f t="shared" si="3"/>
        <v>5503.08</v>
      </c>
    </row>
    <row r="27" spans="1:12" s="27" customFormat="1" ht="33" customHeight="1" x14ac:dyDescent="0.25">
      <c r="A27" s="210" t="s">
        <v>120</v>
      </c>
      <c r="B27" s="355" t="s">
        <v>328</v>
      </c>
      <c r="C27" s="211" t="s">
        <v>95</v>
      </c>
      <c r="D27" s="512" t="s">
        <v>514</v>
      </c>
      <c r="E27" s="507"/>
      <c r="F27" s="507"/>
      <c r="G27" s="208" t="str">
        <f>'MEMÓRIA DE CÁLCULO'!I93</f>
        <v>m²</v>
      </c>
      <c r="H27" s="268">
        <v>194.58850000000001</v>
      </c>
      <c r="I27" s="204">
        <v>7.19</v>
      </c>
      <c r="J27" s="204">
        <f t="shared" si="2"/>
        <v>8.94</v>
      </c>
      <c r="K27" s="209">
        <f t="shared" si="3"/>
        <v>1739.62</v>
      </c>
    </row>
    <row r="28" spans="1:12" s="128" customFormat="1" ht="73.5" customHeight="1" x14ac:dyDescent="0.25">
      <c r="A28" s="296" t="s">
        <v>121</v>
      </c>
      <c r="B28" s="364">
        <v>87449</v>
      </c>
      <c r="C28" s="208" t="str">
        <f>'MEMÓRIA DE CÁLCULO'!C101</f>
        <v>SINAPI</v>
      </c>
      <c r="D28" s="512" t="s">
        <v>625</v>
      </c>
      <c r="E28" s="507"/>
      <c r="F28" s="507"/>
      <c r="G28" s="208" t="s">
        <v>284</v>
      </c>
      <c r="H28" s="268">
        <v>82.251999999999995</v>
      </c>
      <c r="I28" s="204">
        <v>46.04</v>
      </c>
      <c r="J28" s="204">
        <f>ROUNDDOWN(I28*$L$10,2)</f>
        <v>57.27</v>
      </c>
      <c r="K28" s="209">
        <f>ROUNDDOWN(H28*J28,2)</f>
        <v>4710.57</v>
      </c>
      <c r="L28" s="270"/>
    </row>
    <row r="29" spans="1:12" s="27" customFormat="1" ht="47.25" customHeight="1" x14ac:dyDescent="0.25">
      <c r="A29" s="210" t="s">
        <v>122</v>
      </c>
      <c r="B29" s="355" t="s">
        <v>423</v>
      </c>
      <c r="C29" s="211" t="s">
        <v>95</v>
      </c>
      <c r="D29" s="497" t="s">
        <v>515</v>
      </c>
      <c r="E29" s="503"/>
      <c r="F29" s="504"/>
      <c r="G29" s="208" t="s">
        <v>123</v>
      </c>
      <c r="H29" s="268">
        <v>80.498190000000008</v>
      </c>
      <c r="I29" s="204">
        <v>7.39</v>
      </c>
      <c r="J29" s="204">
        <f t="shared" si="2"/>
        <v>9.19</v>
      </c>
      <c r="K29" s="209">
        <f t="shared" ref="K29" si="4">ROUNDDOWN(H29*J29,2)</f>
        <v>739.77</v>
      </c>
    </row>
    <row r="30" spans="1:12" x14ac:dyDescent="0.25">
      <c r="A30" s="513"/>
      <c r="B30" s="514"/>
      <c r="C30" s="514"/>
      <c r="D30" s="514"/>
      <c r="E30" s="514"/>
      <c r="F30" s="514"/>
      <c r="G30" s="514"/>
      <c r="H30" s="514"/>
      <c r="I30" s="515" t="s">
        <v>106</v>
      </c>
      <c r="J30" s="515"/>
      <c r="K30" s="134">
        <f>SUM(K24:K29)</f>
        <v>14943.560000000001</v>
      </c>
    </row>
    <row r="31" spans="1:12" x14ac:dyDescent="0.25">
      <c r="A31" s="133" t="s">
        <v>124</v>
      </c>
      <c r="B31" s="500" t="s">
        <v>125</v>
      </c>
      <c r="C31" s="500"/>
      <c r="D31" s="500"/>
      <c r="E31" s="500"/>
      <c r="F31" s="500"/>
      <c r="G31" s="500"/>
      <c r="H31" s="500"/>
      <c r="I31" s="500"/>
      <c r="J31" s="500"/>
      <c r="K31" s="501"/>
    </row>
    <row r="32" spans="1:12" s="27" customFormat="1" ht="55.5" customHeight="1" x14ac:dyDescent="0.25">
      <c r="A32" s="210" t="s">
        <v>126</v>
      </c>
      <c r="B32" s="355" t="s">
        <v>655</v>
      </c>
      <c r="C32" s="356" t="s">
        <v>95</v>
      </c>
      <c r="D32" s="497" t="s">
        <v>657</v>
      </c>
      <c r="E32" s="498"/>
      <c r="F32" s="499"/>
      <c r="G32" s="208" t="str">
        <f>'MEMÓRIA DE CÁLCULO'!I120</f>
        <v>m³</v>
      </c>
      <c r="H32" s="268">
        <v>2.9909250000000003</v>
      </c>
      <c r="I32" s="204">
        <v>274.93</v>
      </c>
      <c r="J32" s="204">
        <f t="shared" ref="J32:J33" si="5">ROUNDDOWN(I32*$L$10,2)</f>
        <v>342.01</v>
      </c>
      <c r="K32" s="209">
        <f t="shared" ref="K32:K33" si="6">ROUNDDOWN(H32*J32,2)</f>
        <v>1022.92</v>
      </c>
    </row>
    <row r="33" spans="1:11" s="27" customFormat="1" ht="48" customHeight="1" x14ac:dyDescent="0.25">
      <c r="A33" s="210" t="s">
        <v>127</v>
      </c>
      <c r="B33" s="355" t="s">
        <v>423</v>
      </c>
      <c r="C33" s="356" t="s">
        <v>95</v>
      </c>
      <c r="D33" s="497" t="s">
        <v>515</v>
      </c>
      <c r="E33" s="503"/>
      <c r="F33" s="504"/>
      <c r="G33" s="208" t="s">
        <v>123</v>
      </c>
      <c r="H33" s="268">
        <v>103.08624</v>
      </c>
      <c r="I33" s="204">
        <v>7.39</v>
      </c>
      <c r="J33" s="204">
        <f t="shared" si="5"/>
        <v>9.19</v>
      </c>
      <c r="K33" s="209">
        <f t="shared" si="6"/>
        <v>947.36</v>
      </c>
    </row>
    <row r="34" spans="1:11" s="27" customFormat="1" ht="120" customHeight="1" x14ac:dyDescent="0.25">
      <c r="A34" s="210" t="s">
        <v>128</v>
      </c>
      <c r="B34" s="516" t="s">
        <v>614</v>
      </c>
      <c r="C34" s="517"/>
      <c r="D34" s="497" t="s">
        <v>612</v>
      </c>
      <c r="E34" s="503"/>
      <c r="F34" s="504"/>
      <c r="G34" s="297" t="s">
        <v>284</v>
      </c>
      <c r="H34" s="268">
        <v>320</v>
      </c>
      <c r="I34" s="204">
        <f>(((51660+6840)+47700+44160))/3/320</f>
        <v>156.625</v>
      </c>
      <c r="J34" s="204">
        <f t="shared" ref="J34" si="7">ROUNDDOWN(I34*$L$10,2)</f>
        <v>194.84</v>
      </c>
      <c r="K34" s="209">
        <f t="shared" ref="K34" si="8">ROUNDDOWN(H34*J34,2)</f>
        <v>62348.800000000003</v>
      </c>
    </row>
    <row r="35" spans="1:11" x14ac:dyDescent="0.25">
      <c r="A35" s="513"/>
      <c r="B35" s="514"/>
      <c r="C35" s="514"/>
      <c r="D35" s="514"/>
      <c r="E35" s="514"/>
      <c r="F35" s="514"/>
      <c r="G35" s="514"/>
      <c r="H35" s="514"/>
      <c r="I35" s="515" t="s">
        <v>106</v>
      </c>
      <c r="J35" s="515"/>
      <c r="K35" s="134">
        <f>SUM(K32:K34)</f>
        <v>64319.08</v>
      </c>
    </row>
    <row r="36" spans="1:11" x14ac:dyDescent="0.25">
      <c r="A36" s="133" t="s">
        <v>129</v>
      </c>
      <c r="B36" s="500" t="s">
        <v>130</v>
      </c>
      <c r="C36" s="500"/>
      <c r="D36" s="500"/>
      <c r="E36" s="500"/>
      <c r="F36" s="500"/>
      <c r="G36" s="500"/>
      <c r="H36" s="500"/>
      <c r="I36" s="500"/>
      <c r="J36" s="500"/>
      <c r="K36" s="501"/>
    </row>
    <row r="37" spans="1:11" s="128" customFormat="1" ht="73.5" customHeight="1" x14ac:dyDescent="0.25">
      <c r="A37" s="207" t="s">
        <v>131</v>
      </c>
      <c r="B37" s="355">
        <v>50601</v>
      </c>
      <c r="C37" s="275" t="s">
        <v>424</v>
      </c>
      <c r="D37" s="512" t="s">
        <v>425</v>
      </c>
      <c r="E37" s="507"/>
      <c r="F37" s="507"/>
      <c r="G37" s="208" t="str">
        <f>'MEMÓRIA DE CÁLCULO'!I156</f>
        <v>m²</v>
      </c>
      <c r="H37" s="268">
        <v>126.024</v>
      </c>
      <c r="I37" s="204">
        <v>34.21</v>
      </c>
      <c r="J37" s="204">
        <f>ROUNDDOWN(I37*$L$10,2)</f>
        <v>42.55</v>
      </c>
      <c r="K37" s="209">
        <f>ROUNDDOWN(H37*J37,2)</f>
        <v>5362.32</v>
      </c>
    </row>
    <row r="38" spans="1:11" s="128" customFormat="1" ht="73.5" customHeight="1" x14ac:dyDescent="0.25">
      <c r="A38" s="212" t="s">
        <v>132</v>
      </c>
      <c r="B38" s="355">
        <v>87449</v>
      </c>
      <c r="C38" s="213" t="s">
        <v>95</v>
      </c>
      <c r="D38" s="512" t="s">
        <v>625</v>
      </c>
      <c r="E38" s="507"/>
      <c r="F38" s="507"/>
      <c r="G38" s="213">
        <f>'MEMÓRIA DE CÁLCULO'!I188</f>
        <v>0</v>
      </c>
      <c r="H38" s="268">
        <v>39.606000000000002</v>
      </c>
      <c r="I38" s="204">
        <v>46.04</v>
      </c>
      <c r="J38" s="205">
        <f>ROUNDDOWN(I38*$L$10,2)</f>
        <v>57.27</v>
      </c>
      <c r="K38" s="214">
        <f>ROUNDDOWN(H38*J38,2)</f>
        <v>2268.23</v>
      </c>
    </row>
    <row r="39" spans="1:11" s="130" customFormat="1" ht="73.5" customHeight="1" x14ac:dyDescent="0.25">
      <c r="A39" s="212" t="s">
        <v>426</v>
      </c>
      <c r="B39" s="213" t="s">
        <v>336</v>
      </c>
      <c r="C39" s="213" t="s">
        <v>95</v>
      </c>
      <c r="D39" s="512" t="s">
        <v>516</v>
      </c>
      <c r="E39" s="507"/>
      <c r="F39" s="507"/>
      <c r="G39" s="213" t="str">
        <f>'MEMÓRIA DE CÁLCULO'!I189</f>
        <v>m²</v>
      </c>
      <c r="H39" s="268">
        <v>3.12</v>
      </c>
      <c r="I39" s="205">
        <v>81.599999999999994</v>
      </c>
      <c r="J39" s="205">
        <f>ROUNDDOWN(I39*$L$10,2)</f>
        <v>101.51</v>
      </c>
      <c r="K39" s="214">
        <f>ROUNDDOWN(H39*J39,2)</f>
        <v>316.70999999999998</v>
      </c>
    </row>
    <row r="40" spans="1:11" s="130" customFormat="1" ht="73.5" customHeight="1" x14ac:dyDescent="0.25">
      <c r="A40" s="212" t="s">
        <v>427</v>
      </c>
      <c r="B40" s="213" t="s">
        <v>559</v>
      </c>
      <c r="C40" s="213" t="s">
        <v>95</v>
      </c>
      <c r="D40" s="497" t="s">
        <v>560</v>
      </c>
      <c r="E40" s="498"/>
      <c r="F40" s="499"/>
      <c r="G40" s="265" t="s">
        <v>215</v>
      </c>
      <c r="H40" s="268">
        <v>4.4000000000000004</v>
      </c>
      <c r="I40" s="205">
        <v>15.62</v>
      </c>
      <c r="J40" s="205">
        <f>ROUNDDOWN(I40*$L$10,2)</f>
        <v>19.43</v>
      </c>
      <c r="K40" s="214">
        <f>ROUNDDOWN(H40*J40,2)</f>
        <v>85.49</v>
      </c>
    </row>
    <row r="41" spans="1:11" x14ac:dyDescent="0.25">
      <c r="A41" s="513"/>
      <c r="B41" s="514"/>
      <c r="C41" s="514"/>
      <c r="D41" s="514"/>
      <c r="E41" s="514"/>
      <c r="F41" s="514"/>
      <c r="G41" s="514"/>
      <c r="H41" s="514"/>
      <c r="I41" s="515" t="s">
        <v>106</v>
      </c>
      <c r="J41" s="515"/>
      <c r="K41" s="134">
        <f>SUM(K37:K40)</f>
        <v>8032.7499999999991</v>
      </c>
    </row>
    <row r="42" spans="1:11" x14ac:dyDescent="0.25">
      <c r="A42" s="133" t="s">
        <v>133</v>
      </c>
      <c r="B42" s="500" t="s">
        <v>134</v>
      </c>
      <c r="C42" s="500"/>
      <c r="D42" s="500"/>
      <c r="E42" s="500"/>
      <c r="F42" s="500"/>
      <c r="G42" s="500"/>
      <c r="H42" s="500"/>
      <c r="I42" s="500"/>
      <c r="J42" s="500"/>
      <c r="K42" s="501"/>
    </row>
    <row r="43" spans="1:11" s="130" customFormat="1" ht="56.25" customHeight="1" x14ac:dyDescent="0.25">
      <c r="A43" s="212" t="s">
        <v>135</v>
      </c>
      <c r="B43" s="213">
        <v>90822</v>
      </c>
      <c r="C43" s="213" t="s">
        <v>95</v>
      </c>
      <c r="D43" s="512" t="s">
        <v>668</v>
      </c>
      <c r="E43" s="507"/>
      <c r="F43" s="507"/>
      <c r="G43" s="213" t="str">
        <f>'MEMÓRIA DE CÁLCULO'!I201</f>
        <v>Und.</v>
      </c>
      <c r="H43" s="268">
        <v>4</v>
      </c>
      <c r="I43" s="205">
        <v>169.94</v>
      </c>
      <c r="J43" s="205">
        <f>ROUNDDOWN(I43*$L$10,2)</f>
        <v>211.4</v>
      </c>
      <c r="K43" s="214">
        <f>ROUNDDOWN(H43*J43,2)</f>
        <v>845.6</v>
      </c>
    </row>
    <row r="44" spans="1:11" x14ac:dyDescent="0.25">
      <c r="A44" s="513"/>
      <c r="B44" s="514"/>
      <c r="C44" s="514"/>
      <c r="D44" s="514"/>
      <c r="E44" s="514"/>
      <c r="F44" s="514"/>
      <c r="G44" s="514"/>
      <c r="H44" s="514"/>
      <c r="I44" s="515" t="s">
        <v>106</v>
      </c>
      <c r="J44" s="515"/>
      <c r="K44" s="134">
        <f>K43</f>
        <v>845.6</v>
      </c>
    </row>
    <row r="45" spans="1:11" x14ac:dyDescent="0.25">
      <c r="A45" s="133" t="s">
        <v>136</v>
      </c>
      <c r="B45" s="500" t="s">
        <v>137</v>
      </c>
      <c r="C45" s="500"/>
      <c r="D45" s="500"/>
      <c r="E45" s="500"/>
      <c r="F45" s="500"/>
      <c r="G45" s="500"/>
      <c r="H45" s="500"/>
      <c r="I45" s="500"/>
      <c r="J45" s="500"/>
      <c r="K45" s="501"/>
    </row>
    <row r="46" spans="1:11" s="130" customFormat="1" ht="49.5" customHeight="1" x14ac:dyDescent="0.25">
      <c r="A46" s="212" t="s">
        <v>138</v>
      </c>
      <c r="B46" s="213">
        <v>91341</v>
      </c>
      <c r="C46" s="213" t="s">
        <v>95</v>
      </c>
      <c r="D46" s="512" t="s">
        <v>139</v>
      </c>
      <c r="E46" s="507"/>
      <c r="F46" s="507"/>
      <c r="G46" s="213" t="str">
        <f>'MEMÓRIA DE CÁLCULO'!I210</f>
        <v>m²</v>
      </c>
      <c r="H46" s="268">
        <v>3.9600000000000004</v>
      </c>
      <c r="I46" s="205">
        <v>423.56</v>
      </c>
      <c r="J46" s="205">
        <f>ROUNDDOWN(I46*$L$10,2)</f>
        <v>526.9</v>
      </c>
      <c r="K46" s="214">
        <f>ROUNDDOWN(H46*J46,2)</f>
        <v>2086.52</v>
      </c>
    </row>
    <row r="47" spans="1:11" s="130" customFormat="1" ht="49.5" customHeight="1" x14ac:dyDescent="0.25">
      <c r="A47" s="212" t="s">
        <v>435</v>
      </c>
      <c r="B47" s="213" t="s">
        <v>436</v>
      </c>
      <c r="C47" s="213" t="s">
        <v>95</v>
      </c>
      <c r="D47" s="507" t="s">
        <v>437</v>
      </c>
      <c r="E47" s="507"/>
      <c r="F47" s="507"/>
      <c r="G47" s="213" t="s">
        <v>284</v>
      </c>
      <c r="H47" s="268">
        <v>11</v>
      </c>
      <c r="I47" s="205">
        <v>326.13</v>
      </c>
      <c r="J47" s="205">
        <f>ROUNDDOWN(I47*$L$10,2)</f>
        <v>405.7</v>
      </c>
      <c r="K47" s="214">
        <f>ROUNDDOWN(H47*J47,2)</f>
        <v>4462.7</v>
      </c>
    </row>
    <row r="48" spans="1:11" x14ac:dyDescent="0.25">
      <c r="A48" s="513"/>
      <c r="B48" s="514"/>
      <c r="C48" s="514"/>
      <c r="D48" s="514"/>
      <c r="E48" s="514"/>
      <c r="F48" s="514"/>
      <c r="G48" s="514"/>
      <c r="H48" s="514"/>
      <c r="I48" s="515" t="s">
        <v>106</v>
      </c>
      <c r="J48" s="515"/>
      <c r="K48" s="134">
        <f>SUM(K46:K47)</f>
        <v>6549.2199999999993</v>
      </c>
    </row>
    <row r="49" spans="1:12" x14ac:dyDescent="0.25">
      <c r="A49" s="133" t="s">
        <v>140</v>
      </c>
      <c r="B49" s="500" t="s">
        <v>628</v>
      </c>
      <c r="C49" s="500"/>
      <c r="D49" s="500"/>
      <c r="E49" s="500"/>
      <c r="F49" s="500"/>
      <c r="G49" s="500"/>
      <c r="H49" s="500"/>
      <c r="I49" s="500"/>
      <c r="J49" s="500"/>
      <c r="K49" s="501"/>
    </row>
    <row r="50" spans="1:12" s="130" customFormat="1" ht="49.5" customHeight="1" x14ac:dyDescent="0.25">
      <c r="A50" s="212" t="s">
        <v>141</v>
      </c>
      <c r="B50" s="213">
        <v>88648</v>
      </c>
      <c r="C50" s="213" t="s">
        <v>95</v>
      </c>
      <c r="D50" s="512" t="s">
        <v>500</v>
      </c>
      <c r="E50" s="507"/>
      <c r="F50" s="507"/>
      <c r="G50" s="213" t="str">
        <f>'MEMÓRIA DE CÁLCULO'!I223</f>
        <v>m²</v>
      </c>
      <c r="H50" s="268">
        <v>8.7696000000000005</v>
      </c>
      <c r="I50" s="205">
        <v>5.5</v>
      </c>
      <c r="J50" s="205">
        <f>ROUNDDOWN(I50*$L$10,2)</f>
        <v>6.84</v>
      </c>
      <c r="K50" s="214">
        <f>ROUNDDOWN(H50*J50,2)</f>
        <v>59.98</v>
      </c>
    </row>
    <row r="51" spans="1:12" s="130" customFormat="1" ht="49.5" customHeight="1" x14ac:dyDescent="0.25">
      <c r="A51" s="212" t="s">
        <v>141</v>
      </c>
      <c r="B51" s="213">
        <v>130308</v>
      </c>
      <c r="C51" s="213" t="s">
        <v>424</v>
      </c>
      <c r="D51" s="512" t="s">
        <v>631</v>
      </c>
      <c r="E51" s="507"/>
      <c r="F51" s="507"/>
      <c r="G51" s="213" t="s">
        <v>215</v>
      </c>
      <c r="H51" s="268">
        <v>3.2</v>
      </c>
      <c r="I51" s="352">
        <v>35.83</v>
      </c>
      <c r="J51" s="205">
        <f>ROUNDDOWN(I51*$L$10,2)</f>
        <v>44.57</v>
      </c>
      <c r="K51" s="214">
        <f>ROUNDDOWN(H51*J51,2)</f>
        <v>142.62</v>
      </c>
    </row>
    <row r="52" spans="1:12" s="130" customFormat="1" ht="49.5" customHeight="1" x14ac:dyDescent="0.25">
      <c r="A52" s="212" t="s">
        <v>142</v>
      </c>
      <c r="B52" s="213">
        <v>130308</v>
      </c>
      <c r="C52" s="213" t="s">
        <v>424</v>
      </c>
      <c r="D52" s="512" t="s">
        <v>632</v>
      </c>
      <c r="E52" s="507"/>
      <c r="F52" s="507"/>
      <c r="G52" s="213" t="s">
        <v>215</v>
      </c>
      <c r="H52" s="268">
        <v>10</v>
      </c>
      <c r="I52" s="205">
        <v>35.83</v>
      </c>
      <c r="J52" s="205">
        <f>ROUNDDOWN(I52*$L$10,2)</f>
        <v>44.57</v>
      </c>
      <c r="K52" s="214">
        <f>ROUNDDOWN(H52*J52,2)</f>
        <v>445.7</v>
      </c>
    </row>
    <row r="53" spans="1:12" x14ac:dyDescent="0.25">
      <c r="A53" s="513"/>
      <c r="B53" s="514"/>
      <c r="C53" s="514"/>
      <c r="D53" s="514"/>
      <c r="E53" s="514"/>
      <c r="F53" s="514"/>
      <c r="G53" s="514"/>
      <c r="H53" s="514"/>
      <c r="I53" s="515" t="s">
        <v>106</v>
      </c>
      <c r="J53" s="515"/>
      <c r="K53" s="134">
        <f>SUM(K50:K52)</f>
        <v>648.29999999999995</v>
      </c>
    </row>
    <row r="54" spans="1:12" x14ac:dyDescent="0.25">
      <c r="A54" s="133" t="s">
        <v>144</v>
      </c>
      <c r="B54" s="500" t="s">
        <v>145</v>
      </c>
      <c r="C54" s="500"/>
      <c r="D54" s="500"/>
      <c r="E54" s="500"/>
      <c r="F54" s="500"/>
      <c r="G54" s="500"/>
      <c r="H54" s="500"/>
      <c r="I54" s="500"/>
      <c r="J54" s="500"/>
      <c r="K54" s="501"/>
    </row>
    <row r="55" spans="1:12" s="130" customFormat="1" ht="49.5" customHeight="1" x14ac:dyDescent="0.25">
      <c r="A55" s="212" t="s">
        <v>146</v>
      </c>
      <c r="B55" s="213" t="s">
        <v>634</v>
      </c>
      <c r="C55" s="213" t="s">
        <v>95</v>
      </c>
      <c r="D55" s="512" t="s">
        <v>633</v>
      </c>
      <c r="E55" s="507"/>
      <c r="F55" s="507"/>
      <c r="G55" s="213" t="str">
        <f>'MEMÓRIA DE CÁLCULO'!I247</f>
        <v>m²</v>
      </c>
      <c r="H55" s="268">
        <v>248.57999999999998</v>
      </c>
      <c r="I55" s="205">
        <v>23.48</v>
      </c>
      <c r="J55" s="205">
        <f>ROUNDDOWN(I55*$L$10,2)</f>
        <v>29.2</v>
      </c>
      <c r="K55" s="214">
        <f>ROUNDDOWN(H55*J55,2)</f>
        <v>7258.53</v>
      </c>
    </row>
    <row r="56" spans="1:12" s="27" customFormat="1" ht="62.25" customHeight="1" x14ac:dyDescent="0.25">
      <c r="A56" s="210" t="s">
        <v>147</v>
      </c>
      <c r="B56" s="213" t="s">
        <v>636</v>
      </c>
      <c r="C56" s="213" t="s">
        <v>95</v>
      </c>
      <c r="D56" s="512" t="s">
        <v>637</v>
      </c>
      <c r="E56" s="507"/>
      <c r="F56" s="507"/>
      <c r="G56" s="208" t="str">
        <f>'MEMÓRIA DE CÁLCULO'!I257</f>
        <v>m²</v>
      </c>
      <c r="H56" s="268">
        <v>248.57999999999998</v>
      </c>
      <c r="I56" s="204">
        <v>36.67</v>
      </c>
      <c r="J56" s="204">
        <f>ROUNDDOWN(I56*$L$10,2)</f>
        <v>45.61</v>
      </c>
      <c r="K56" s="209">
        <f>ROUNDDOWN(H56*J56,2)</f>
        <v>11337.73</v>
      </c>
      <c r="L56" s="28"/>
    </row>
    <row r="57" spans="1:12" s="27" customFormat="1" ht="62.25" customHeight="1" x14ac:dyDescent="0.25">
      <c r="A57" s="210" t="s">
        <v>148</v>
      </c>
      <c r="B57" s="213">
        <v>68053</v>
      </c>
      <c r="C57" s="213" t="s">
        <v>95</v>
      </c>
      <c r="D57" s="512" t="s">
        <v>645</v>
      </c>
      <c r="E57" s="507"/>
      <c r="F57" s="507"/>
      <c r="G57" s="297" t="s">
        <v>284</v>
      </c>
      <c r="H57" s="268">
        <v>248.57999999999998</v>
      </c>
      <c r="I57" s="204">
        <v>4.25</v>
      </c>
      <c r="J57" s="204">
        <f>ROUNDDOWN(I57*$L$10,2)</f>
        <v>5.28</v>
      </c>
      <c r="K57" s="209">
        <f>ROUNDDOWN(H57*J57,2)</f>
        <v>1312.5</v>
      </c>
      <c r="L57" s="28"/>
    </row>
    <row r="58" spans="1:12" s="27" customFormat="1" ht="62.25" customHeight="1" x14ac:dyDescent="0.25">
      <c r="A58" s="210" t="s">
        <v>149</v>
      </c>
      <c r="B58" s="213" t="s">
        <v>644</v>
      </c>
      <c r="C58" s="213" t="s">
        <v>95</v>
      </c>
      <c r="D58" s="512" t="s">
        <v>643</v>
      </c>
      <c r="E58" s="507"/>
      <c r="F58" s="507"/>
      <c r="G58" s="297" t="s">
        <v>284</v>
      </c>
      <c r="H58" s="268">
        <f>(13*2+24.25*2)*1</f>
        <v>74.5</v>
      </c>
      <c r="I58" s="204">
        <v>32.39</v>
      </c>
      <c r="J58" s="204">
        <f>ROUNDDOWN(I58*$L$10,2)</f>
        <v>40.29</v>
      </c>
      <c r="K58" s="209">
        <f>ROUNDDOWN(H58*J58,2)</f>
        <v>3001.6</v>
      </c>
      <c r="L58" s="28"/>
    </row>
    <row r="59" spans="1:12" x14ac:dyDescent="0.25">
      <c r="A59" s="513"/>
      <c r="B59" s="514"/>
      <c r="C59" s="514"/>
      <c r="D59" s="514"/>
      <c r="E59" s="514"/>
      <c r="F59" s="514"/>
      <c r="G59" s="514"/>
      <c r="H59" s="514"/>
      <c r="I59" s="515" t="s">
        <v>106</v>
      </c>
      <c r="J59" s="515"/>
      <c r="K59" s="134">
        <f>SUM(K55:K58)</f>
        <v>22910.359999999997</v>
      </c>
    </row>
    <row r="60" spans="1:12" x14ac:dyDescent="0.25">
      <c r="A60" s="133" t="s">
        <v>150</v>
      </c>
      <c r="B60" s="500" t="s">
        <v>151</v>
      </c>
      <c r="C60" s="500"/>
      <c r="D60" s="500"/>
      <c r="E60" s="500"/>
      <c r="F60" s="500"/>
      <c r="G60" s="500"/>
      <c r="H60" s="500"/>
      <c r="I60" s="500"/>
      <c r="J60" s="500"/>
      <c r="K60" s="501"/>
    </row>
    <row r="61" spans="1:12" s="128" customFormat="1" ht="35.25" customHeight="1" x14ac:dyDescent="0.25">
      <c r="A61" s="215" t="s">
        <v>152</v>
      </c>
      <c r="B61" s="355">
        <v>89357</v>
      </c>
      <c r="C61" s="211" t="s">
        <v>95</v>
      </c>
      <c r="D61" s="497" t="s">
        <v>663</v>
      </c>
      <c r="E61" s="503"/>
      <c r="F61" s="504"/>
      <c r="G61" s="211" t="str">
        <f>'MEMÓRIA DE CÁLCULO'!I285</f>
        <v>m</v>
      </c>
      <c r="H61" s="268">
        <v>12</v>
      </c>
      <c r="I61" s="204">
        <v>12.75</v>
      </c>
      <c r="J61" s="204">
        <f t="shared" ref="J61:J92" si="9">ROUNDDOWN(I61*$L$10,2)</f>
        <v>15.86</v>
      </c>
      <c r="K61" s="209">
        <f t="shared" ref="K61:K92" si="10">ROUNDDOWN(H61*J61,2)</f>
        <v>190.32</v>
      </c>
    </row>
    <row r="62" spans="1:12" s="128" customFormat="1" ht="35.25" customHeight="1" x14ac:dyDescent="0.25">
      <c r="A62" s="215" t="s">
        <v>153</v>
      </c>
      <c r="B62" s="355">
        <v>89357</v>
      </c>
      <c r="C62" s="211" t="s">
        <v>95</v>
      </c>
      <c r="D62" s="497" t="s">
        <v>665</v>
      </c>
      <c r="E62" s="503"/>
      <c r="F62" s="504"/>
      <c r="G62" s="211" t="str">
        <f>'MEMÓRIA DE CÁLCULO'!I288</f>
        <v>m</v>
      </c>
      <c r="H62" s="268">
        <v>30</v>
      </c>
      <c r="I62" s="204">
        <v>18.09</v>
      </c>
      <c r="J62" s="204">
        <f t="shared" si="9"/>
        <v>22.5</v>
      </c>
      <c r="K62" s="209">
        <f t="shared" si="10"/>
        <v>675</v>
      </c>
    </row>
    <row r="63" spans="1:12" s="128" customFormat="1" ht="35.25" customHeight="1" x14ac:dyDescent="0.25">
      <c r="A63" s="215" t="s">
        <v>154</v>
      </c>
      <c r="B63" s="356">
        <v>89448</v>
      </c>
      <c r="C63" s="211" t="s">
        <v>95</v>
      </c>
      <c r="D63" s="497" t="s">
        <v>689</v>
      </c>
      <c r="E63" s="503"/>
      <c r="F63" s="504"/>
      <c r="G63" s="211" t="str">
        <f>'MEMÓRIA DE CÁLCULO'!I291</f>
        <v>m</v>
      </c>
      <c r="H63" s="268">
        <v>12</v>
      </c>
      <c r="I63" s="204">
        <v>10.11</v>
      </c>
      <c r="J63" s="204">
        <f t="shared" si="9"/>
        <v>12.57</v>
      </c>
      <c r="K63" s="209">
        <f t="shared" si="10"/>
        <v>150.84</v>
      </c>
    </row>
    <row r="64" spans="1:12" s="128" customFormat="1" ht="35.25" customHeight="1" x14ac:dyDescent="0.25">
      <c r="A64" s="215" t="s">
        <v>155</v>
      </c>
      <c r="B64" s="356">
        <v>89497</v>
      </c>
      <c r="C64" s="211" t="s">
        <v>95</v>
      </c>
      <c r="D64" s="497" t="s">
        <v>691</v>
      </c>
      <c r="E64" s="503"/>
      <c r="F64" s="504"/>
      <c r="G64" s="211" t="str">
        <f>'MEMÓRIA DE CÁLCULO'!I294</f>
        <v>PÇ</v>
      </c>
      <c r="H64" s="268">
        <v>1</v>
      </c>
      <c r="I64" s="204">
        <v>6.54</v>
      </c>
      <c r="J64" s="204">
        <f t="shared" si="9"/>
        <v>8.1300000000000008</v>
      </c>
      <c r="K64" s="209">
        <f t="shared" si="10"/>
        <v>8.1300000000000008</v>
      </c>
    </row>
    <row r="65" spans="1:11" s="128" customFormat="1" ht="35.25" customHeight="1" x14ac:dyDescent="0.25">
      <c r="A65" s="215" t="s">
        <v>156</v>
      </c>
      <c r="B65" s="356">
        <v>89481</v>
      </c>
      <c r="C65" s="211" t="s">
        <v>95</v>
      </c>
      <c r="D65" s="497" t="s">
        <v>666</v>
      </c>
      <c r="E65" s="503"/>
      <c r="F65" s="504"/>
      <c r="G65" s="211" t="str">
        <f>'MEMÓRIA DE CÁLCULO'!I297</f>
        <v>PÇ</v>
      </c>
      <c r="H65" s="268">
        <v>2</v>
      </c>
      <c r="I65" s="204">
        <v>5.0190000000000001</v>
      </c>
      <c r="J65" s="204">
        <f t="shared" si="9"/>
        <v>6.24</v>
      </c>
      <c r="K65" s="209">
        <f t="shared" si="10"/>
        <v>12.48</v>
      </c>
    </row>
    <row r="66" spans="1:11" s="128" customFormat="1" ht="35.25" customHeight="1" x14ac:dyDescent="0.25">
      <c r="A66" s="215" t="s">
        <v>157</v>
      </c>
      <c r="B66" s="356">
        <v>89366</v>
      </c>
      <c r="C66" s="211" t="s">
        <v>95</v>
      </c>
      <c r="D66" s="497" t="s">
        <v>667</v>
      </c>
      <c r="E66" s="503"/>
      <c r="F66" s="504"/>
      <c r="G66" s="211" t="str">
        <f>'MEMÓRIA DE CÁLCULO'!I300</f>
        <v>PÇ</v>
      </c>
      <c r="H66" s="268">
        <v>14</v>
      </c>
      <c r="I66" s="204">
        <v>9.57</v>
      </c>
      <c r="J66" s="204">
        <f t="shared" si="9"/>
        <v>11.9</v>
      </c>
      <c r="K66" s="209">
        <f t="shared" si="10"/>
        <v>166.6</v>
      </c>
    </row>
    <row r="67" spans="1:11" s="128" customFormat="1" ht="35.25" customHeight="1" x14ac:dyDescent="0.25">
      <c r="A67" s="215" t="s">
        <v>158</v>
      </c>
      <c r="B67" s="356">
        <v>89380</v>
      </c>
      <c r="C67" s="211" t="s">
        <v>95</v>
      </c>
      <c r="D67" s="497" t="s">
        <v>680</v>
      </c>
      <c r="E67" s="503"/>
      <c r="F67" s="504"/>
      <c r="G67" s="211" t="str">
        <f>'MEMÓRIA DE CÁLCULO'!I303</f>
        <v>PÇ</v>
      </c>
      <c r="H67" s="268">
        <v>3</v>
      </c>
      <c r="I67" s="204">
        <v>5.35</v>
      </c>
      <c r="J67" s="204">
        <f t="shared" si="9"/>
        <v>6.65</v>
      </c>
      <c r="K67" s="209">
        <f t="shared" si="10"/>
        <v>19.95</v>
      </c>
    </row>
    <row r="68" spans="1:11" s="128" customFormat="1" ht="35.25" customHeight="1" x14ac:dyDescent="0.25">
      <c r="A68" s="215" t="s">
        <v>159</v>
      </c>
      <c r="B68" s="356">
        <v>89433</v>
      </c>
      <c r="C68" s="211" t="s">
        <v>95</v>
      </c>
      <c r="D68" s="497" t="s">
        <v>681</v>
      </c>
      <c r="E68" s="503"/>
      <c r="F68" s="504"/>
      <c r="G68" s="211" t="str">
        <f>'MEMÓRIA DE CÁLCULO'!I306</f>
        <v>PÇ</v>
      </c>
      <c r="H68" s="268">
        <v>1</v>
      </c>
      <c r="I68" s="204">
        <v>5.29</v>
      </c>
      <c r="J68" s="204">
        <f t="shared" si="9"/>
        <v>6.58</v>
      </c>
      <c r="K68" s="209">
        <f t="shared" si="10"/>
        <v>6.58</v>
      </c>
    </row>
    <row r="69" spans="1:11" s="128" customFormat="1" ht="35.25" customHeight="1" x14ac:dyDescent="0.25">
      <c r="A69" s="215" t="s">
        <v>160</v>
      </c>
      <c r="B69" s="356">
        <v>89395</v>
      </c>
      <c r="C69" s="211" t="s">
        <v>95</v>
      </c>
      <c r="D69" s="497" t="s">
        <v>695</v>
      </c>
      <c r="E69" s="503"/>
      <c r="F69" s="504"/>
      <c r="G69" s="211" t="str">
        <f>'MEMÓRIA DE CÁLCULO'!I309</f>
        <v>PÇ</v>
      </c>
      <c r="H69" s="268">
        <v>2</v>
      </c>
      <c r="I69" s="204">
        <v>7.6</v>
      </c>
      <c r="J69" s="204">
        <f t="shared" si="9"/>
        <v>9.4499999999999993</v>
      </c>
      <c r="K69" s="209">
        <f t="shared" si="10"/>
        <v>18.899999999999999</v>
      </c>
    </row>
    <row r="70" spans="1:11" s="128" customFormat="1" ht="47.25" customHeight="1" x14ac:dyDescent="0.25">
      <c r="A70" s="215" t="s">
        <v>161</v>
      </c>
      <c r="B70" s="356">
        <v>65</v>
      </c>
      <c r="C70" s="211" t="s">
        <v>95</v>
      </c>
      <c r="D70" s="502" t="s">
        <v>517</v>
      </c>
      <c r="E70" s="503"/>
      <c r="F70" s="504"/>
      <c r="G70" s="211" t="str">
        <f>'MEMÓRIA DE CÁLCULO'!I312</f>
        <v>PÇ</v>
      </c>
      <c r="H70" s="268">
        <v>8</v>
      </c>
      <c r="I70" s="204">
        <v>0.79</v>
      </c>
      <c r="J70" s="204">
        <f t="shared" si="9"/>
        <v>0.98</v>
      </c>
      <c r="K70" s="209">
        <f t="shared" si="10"/>
        <v>7.84</v>
      </c>
    </row>
    <row r="71" spans="1:11" s="128" customFormat="1" ht="35.25" customHeight="1" x14ac:dyDescent="0.25">
      <c r="A71" s="215" t="s">
        <v>162</v>
      </c>
      <c r="B71" s="356">
        <v>6005</v>
      </c>
      <c r="C71" s="211" t="s">
        <v>95</v>
      </c>
      <c r="D71" s="502" t="s">
        <v>518</v>
      </c>
      <c r="E71" s="503"/>
      <c r="F71" s="504"/>
      <c r="G71" s="211" t="str">
        <f>'MEMÓRIA DE CÁLCULO'!I315</f>
        <v>PÇ</v>
      </c>
      <c r="H71" s="268">
        <v>5</v>
      </c>
      <c r="I71" s="204">
        <v>52.9</v>
      </c>
      <c r="J71" s="204">
        <f t="shared" si="9"/>
        <v>65.8</v>
      </c>
      <c r="K71" s="209">
        <f t="shared" si="10"/>
        <v>329</v>
      </c>
    </row>
    <row r="72" spans="1:11" s="128" customFormat="1" ht="35.25" customHeight="1" x14ac:dyDescent="0.25">
      <c r="A72" s="215" t="s">
        <v>163</v>
      </c>
      <c r="B72" s="356">
        <v>37105</v>
      </c>
      <c r="C72" s="211" t="s">
        <v>95</v>
      </c>
      <c r="D72" s="502" t="s">
        <v>519</v>
      </c>
      <c r="E72" s="503"/>
      <c r="F72" s="504"/>
      <c r="G72" s="211" t="str">
        <f>'MEMÓRIA DE CÁLCULO'!I318</f>
        <v>PÇ</v>
      </c>
      <c r="H72" s="268">
        <v>1</v>
      </c>
      <c r="I72" s="204">
        <v>1445.22</v>
      </c>
      <c r="J72" s="204">
        <f t="shared" si="9"/>
        <v>1797.85</v>
      </c>
      <c r="K72" s="209">
        <f t="shared" si="10"/>
        <v>1797.85</v>
      </c>
    </row>
    <row r="73" spans="1:11" s="128" customFormat="1" ht="43.5" customHeight="1" x14ac:dyDescent="0.25">
      <c r="A73" s="215" t="s">
        <v>164</v>
      </c>
      <c r="B73" s="356">
        <v>11824</v>
      </c>
      <c r="C73" s="211" t="s">
        <v>95</v>
      </c>
      <c r="D73" s="502" t="s">
        <v>520</v>
      </c>
      <c r="E73" s="503"/>
      <c r="F73" s="504"/>
      <c r="G73" s="211" t="str">
        <f>'MEMÓRIA DE CÁLCULO'!I321</f>
        <v>PÇ</v>
      </c>
      <c r="H73" s="268">
        <v>1</v>
      </c>
      <c r="I73" s="204">
        <v>30.63</v>
      </c>
      <c r="J73" s="204">
        <f t="shared" si="9"/>
        <v>38.1</v>
      </c>
      <c r="K73" s="209">
        <f t="shared" si="10"/>
        <v>38.1</v>
      </c>
    </row>
    <row r="74" spans="1:11" s="128" customFormat="1" ht="47.25" customHeight="1" x14ac:dyDescent="0.25">
      <c r="A74" s="215" t="s">
        <v>165</v>
      </c>
      <c r="B74" s="356">
        <v>72787</v>
      </c>
      <c r="C74" s="211" t="s">
        <v>95</v>
      </c>
      <c r="D74" s="502" t="s">
        <v>521</v>
      </c>
      <c r="E74" s="503"/>
      <c r="F74" s="504"/>
      <c r="G74" s="211" t="str">
        <f>'MEMÓRIA DE CÁLCULO'!I324</f>
        <v>PÇ</v>
      </c>
      <c r="H74" s="268">
        <v>1</v>
      </c>
      <c r="I74" s="204">
        <v>33.590000000000003</v>
      </c>
      <c r="J74" s="204">
        <f t="shared" si="9"/>
        <v>41.78</v>
      </c>
      <c r="K74" s="209">
        <f t="shared" si="10"/>
        <v>41.78</v>
      </c>
    </row>
    <row r="75" spans="1:11" s="128" customFormat="1" ht="47.25" customHeight="1" x14ac:dyDescent="0.25">
      <c r="A75" s="215" t="s">
        <v>166</v>
      </c>
      <c r="B75" s="356">
        <v>72785</v>
      </c>
      <c r="C75" s="211" t="s">
        <v>95</v>
      </c>
      <c r="D75" s="502" t="s">
        <v>522</v>
      </c>
      <c r="E75" s="503"/>
      <c r="F75" s="504"/>
      <c r="G75" s="211" t="str">
        <f>'MEMÓRIA DE CÁLCULO'!I327</f>
        <v>PÇ</v>
      </c>
      <c r="H75" s="268">
        <v>2</v>
      </c>
      <c r="I75" s="204">
        <v>18.23</v>
      </c>
      <c r="J75" s="204">
        <f t="shared" si="9"/>
        <v>22.67</v>
      </c>
      <c r="K75" s="209">
        <f t="shared" si="10"/>
        <v>45.34</v>
      </c>
    </row>
    <row r="76" spans="1:11" s="128" customFormat="1" ht="46.5" customHeight="1" x14ac:dyDescent="0.25">
      <c r="A76" s="215" t="s">
        <v>167</v>
      </c>
      <c r="B76" s="356">
        <v>73</v>
      </c>
      <c r="C76" s="211" t="s">
        <v>95</v>
      </c>
      <c r="D76" s="502" t="s">
        <v>523</v>
      </c>
      <c r="E76" s="503"/>
      <c r="F76" s="504"/>
      <c r="G76" s="211" t="str">
        <f>'MEMÓRIA DE CÁLCULO'!I330</f>
        <v>PÇ</v>
      </c>
      <c r="H76" s="268">
        <v>1</v>
      </c>
      <c r="I76" s="204">
        <v>10.66</v>
      </c>
      <c r="J76" s="204">
        <f t="shared" si="9"/>
        <v>13.26</v>
      </c>
      <c r="K76" s="209">
        <f t="shared" si="10"/>
        <v>13.26</v>
      </c>
    </row>
    <row r="77" spans="1:11" s="128" customFormat="1" ht="35.25" customHeight="1" x14ac:dyDescent="0.25">
      <c r="A77" s="215" t="s">
        <v>168</v>
      </c>
      <c r="B77" s="356">
        <v>89413</v>
      </c>
      <c r="C77" s="211" t="s">
        <v>95</v>
      </c>
      <c r="D77" s="497" t="s">
        <v>696</v>
      </c>
      <c r="E77" s="503"/>
      <c r="F77" s="504"/>
      <c r="G77" s="211" t="str">
        <f>'MEMÓRIA DE CÁLCULO'!I333</f>
        <v>PÇ</v>
      </c>
      <c r="H77" s="268">
        <v>1</v>
      </c>
      <c r="I77" s="204">
        <v>5.09</v>
      </c>
      <c r="J77" s="204">
        <f t="shared" si="9"/>
        <v>6.33</v>
      </c>
      <c r="K77" s="209">
        <f t="shared" si="10"/>
        <v>6.33</v>
      </c>
    </row>
    <row r="78" spans="1:11" s="128" customFormat="1" ht="35.25" customHeight="1" x14ac:dyDescent="0.25">
      <c r="A78" s="215" t="s">
        <v>169</v>
      </c>
      <c r="B78" s="356">
        <v>1194</v>
      </c>
      <c r="C78" s="211" t="s">
        <v>95</v>
      </c>
      <c r="D78" s="502" t="s">
        <v>524</v>
      </c>
      <c r="E78" s="503"/>
      <c r="F78" s="504"/>
      <c r="G78" s="211" t="str">
        <f>'MEMÓRIA DE CÁLCULO'!I336</f>
        <v>PÇ</v>
      </c>
      <c r="H78" s="268">
        <v>2</v>
      </c>
      <c r="I78" s="204">
        <v>4.78</v>
      </c>
      <c r="J78" s="204">
        <f t="shared" si="9"/>
        <v>5.94</v>
      </c>
      <c r="K78" s="209">
        <f t="shared" si="10"/>
        <v>11.88</v>
      </c>
    </row>
    <row r="79" spans="1:11" s="128" customFormat="1" ht="35.25" customHeight="1" x14ac:dyDescent="0.25">
      <c r="A79" s="215" t="s">
        <v>170</v>
      </c>
      <c r="B79" s="356">
        <v>7140</v>
      </c>
      <c r="C79" s="211" t="s">
        <v>95</v>
      </c>
      <c r="D79" s="502" t="s">
        <v>525</v>
      </c>
      <c r="E79" s="503"/>
      <c r="F79" s="504"/>
      <c r="G79" s="211" t="str">
        <f>'MEMÓRIA DE CÁLCULO'!I339</f>
        <v>PÇ</v>
      </c>
      <c r="H79" s="268">
        <v>1</v>
      </c>
      <c r="I79" s="204">
        <v>2.77</v>
      </c>
      <c r="J79" s="204">
        <f t="shared" si="9"/>
        <v>3.44</v>
      </c>
      <c r="K79" s="209">
        <f t="shared" si="10"/>
        <v>3.44</v>
      </c>
    </row>
    <row r="80" spans="1:11" s="128" customFormat="1" ht="46.5" customHeight="1" x14ac:dyDescent="0.25">
      <c r="A80" s="215" t="s">
        <v>171</v>
      </c>
      <c r="B80" s="356">
        <v>6015</v>
      </c>
      <c r="C80" s="211" t="s">
        <v>95</v>
      </c>
      <c r="D80" s="502" t="s">
        <v>526</v>
      </c>
      <c r="E80" s="503"/>
      <c r="F80" s="504"/>
      <c r="G80" s="211" t="str">
        <f>'MEMÓRIA DE CÁLCULO'!I342</f>
        <v>PÇ</v>
      </c>
      <c r="H80" s="268">
        <v>2</v>
      </c>
      <c r="I80" s="204">
        <v>94.17</v>
      </c>
      <c r="J80" s="204">
        <f t="shared" si="9"/>
        <v>117.14</v>
      </c>
      <c r="K80" s="209">
        <f t="shared" si="10"/>
        <v>234.28</v>
      </c>
    </row>
    <row r="81" spans="1:11" s="128" customFormat="1" ht="35.25" customHeight="1" x14ac:dyDescent="0.25">
      <c r="A81" s="215" t="s">
        <v>172</v>
      </c>
      <c r="B81" s="356">
        <v>89408</v>
      </c>
      <c r="C81" s="211" t="s">
        <v>95</v>
      </c>
      <c r="D81" s="497" t="s">
        <v>697</v>
      </c>
      <c r="E81" s="503"/>
      <c r="F81" s="504"/>
      <c r="G81" s="211" t="str">
        <f>'MEMÓRIA DE CÁLCULO'!I345</f>
        <v>PÇ</v>
      </c>
      <c r="H81" s="268">
        <v>3</v>
      </c>
      <c r="I81" s="204">
        <v>3.63</v>
      </c>
      <c r="J81" s="204">
        <f t="shared" si="9"/>
        <v>4.51</v>
      </c>
      <c r="K81" s="209">
        <f t="shared" si="10"/>
        <v>13.53</v>
      </c>
    </row>
    <row r="82" spans="1:11" s="128" customFormat="1" ht="48.75" customHeight="1" x14ac:dyDescent="0.25">
      <c r="A82" s="215" t="s">
        <v>173</v>
      </c>
      <c r="B82" s="356">
        <v>112</v>
      </c>
      <c r="C82" s="211" t="s">
        <v>95</v>
      </c>
      <c r="D82" s="502" t="s">
        <v>527</v>
      </c>
      <c r="E82" s="503"/>
      <c r="F82" s="504"/>
      <c r="G82" s="211" t="str">
        <f>'MEMÓRIA DE CÁLCULO'!I348</f>
        <v>PÇ</v>
      </c>
      <c r="H82" s="268">
        <v>2</v>
      </c>
      <c r="I82" s="204">
        <v>3.47</v>
      </c>
      <c r="J82" s="204">
        <f t="shared" si="9"/>
        <v>4.3099999999999996</v>
      </c>
      <c r="K82" s="209">
        <f t="shared" si="10"/>
        <v>8.6199999999999992</v>
      </c>
    </row>
    <row r="83" spans="1:11" s="128" customFormat="1" ht="35.25" customHeight="1" x14ac:dyDescent="0.25">
      <c r="A83" s="215" t="s">
        <v>174</v>
      </c>
      <c r="B83" s="356">
        <v>89627</v>
      </c>
      <c r="C83" s="211" t="s">
        <v>95</v>
      </c>
      <c r="D83" s="497" t="s">
        <v>698</v>
      </c>
      <c r="E83" s="503"/>
      <c r="F83" s="504"/>
      <c r="G83" s="211" t="str">
        <f>'MEMÓRIA DE CÁLCULO'!I351</f>
        <v>PÇ</v>
      </c>
      <c r="H83" s="268">
        <v>1</v>
      </c>
      <c r="I83" s="204">
        <v>14.68</v>
      </c>
      <c r="J83" s="204">
        <f t="shared" si="9"/>
        <v>18.260000000000002</v>
      </c>
      <c r="K83" s="209">
        <f t="shared" si="10"/>
        <v>18.260000000000002</v>
      </c>
    </row>
    <row r="84" spans="1:11" s="128" customFormat="1" ht="35.25" customHeight="1" x14ac:dyDescent="0.25">
      <c r="A84" s="215" t="s">
        <v>175</v>
      </c>
      <c r="B84" s="356">
        <v>89624</v>
      </c>
      <c r="C84" s="211" t="s">
        <v>95</v>
      </c>
      <c r="D84" s="497" t="s">
        <v>682</v>
      </c>
      <c r="E84" s="503"/>
      <c r="F84" s="504"/>
      <c r="G84" s="211" t="str">
        <f>'MEMÓRIA DE CÁLCULO'!I354</f>
        <v>PÇ</v>
      </c>
      <c r="H84" s="268">
        <v>3</v>
      </c>
      <c r="I84" s="204">
        <v>12.19</v>
      </c>
      <c r="J84" s="204">
        <f t="shared" si="9"/>
        <v>15.16</v>
      </c>
      <c r="K84" s="209">
        <f t="shared" si="10"/>
        <v>45.48</v>
      </c>
    </row>
    <row r="85" spans="1:11" s="128" customFormat="1" ht="35.25" customHeight="1" x14ac:dyDescent="0.25">
      <c r="A85" s="215" t="s">
        <v>176</v>
      </c>
      <c r="B85" s="356">
        <v>89626</v>
      </c>
      <c r="C85" s="211" t="s">
        <v>95</v>
      </c>
      <c r="D85" s="497" t="s">
        <v>699</v>
      </c>
      <c r="E85" s="503"/>
      <c r="F85" s="504"/>
      <c r="G85" s="211" t="str">
        <f>'MEMÓRIA DE CÁLCULO'!I357</f>
        <v>PÇ</v>
      </c>
      <c r="H85" s="268">
        <v>1</v>
      </c>
      <c r="I85" s="204">
        <v>19.04</v>
      </c>
      <c r="J85" s="204">
        <f t="shared" si="9"/>
        <v>23.68</v>
      </c>
      <c r="K85" s="209">
        <f t="shared" si="10"/>
        <v>23.68</v>
      </c>
    </row>
    <row r="86" spans="1:11" s="128" customFormat="1" ht="35.25" customHeight="1" x14ac:dyDescent="0.25">
      <c r="A86" s="215" t="s">
        <v>177</v>
      </c>
      <c r="B86" s="356">
        <v>89449</v>
      </c>
      <c r="C86" s="211" t="s">
        <v>95</v>
      </c>
      <c r="D86" s="497" t="s">
        <v>700</v>
      </c>
      <c r="E86" s="503"/>
      <c r="F86" s="504"/>
      <c r="G86" s="211" t="str">
        <f>'MEMÓRIA DE CÁLCULO'!I360</f>
        <v>m</v>
      </c>
      <c r="H86" s="268">
        <v>6</v>
      </c>
      <c r="I86" s="204">
        <v>12.51</v>
      </c>
      <c r="J86" s="204">
        <f t="shared" si="9"/>
        <v>15.56</v>
      </c>
      <c r="K86" s="209">
        <f t="shared" si="10"/>
        <v>93.36</v>
      </c>
    </row>
    <row r="87" spans="1:11" s="128" customFormat="1" ht="35.25" customHeight="1" x14ac:dyDescent="0.25">
      <c r="A87" s="215" t="s">
        <v>178</v>
      </c>
      <c r="B87" s="356">
        <v>20086</v>
      </c>
      <c r="C87" s="211" t="s">
        <v>95</v>
      </c>
      <c r="D87" s="502" t="s">
        <v>528</v>
      </c>
      <c r="E87" s="503"/>
      <c r="F87" s="504"/>
      <c r="G87" s="211" t="str">
        <f>'MEMÓRIA DE CÁLCULO'!I363</f>
        <v>PÇ</v>
      </c>
      <c r="H87" s="268">
        <v>6</v>
      </c>
      <c r="I87" s="204">
        <v>1.89</v>
      </c>
      <c r="J87" s="204">
        <f t="shared" si="9"/>
        <v>2.35</v>
      </c>
      <c r="K87" s="209">
        <f t="shared" si="10"/>
        <v>14.1</v>
      </c>
    </row>
    <row r="88" spans="1:11" s="128" customFormat="1" ht="92.25" customHeight="1" x14ac:dyDescent="0.25">
      <c r="A88" s="215" t="s">
        <v>179</v>
      </c>
      <c r="B88" s="356" t="s">
        <v>347</v>
      </c>
      <c r="C88" s="211" t="s">
        <v>95</v>
      </c>
      <c r="D88" s="502" t="s">
        <v>529</v>
      </c>
      <c r="E88" s="503"/>
      <c r="F88" s="504"/>
      <c r="G88" s="211" t="str">
        <f>'MEMÓRIA DE CÁLCULO'!I366</f>
        <v>PÇ</v>
      </c>
      <c r="H88" s="268">
        <v>1</v>
      </c>
      <c r="I88" s="204">
        <v>122.22</v>
      </c>
      <c r="J88" s="204">
        <f t="shared" si="9"/>
        <v>152.04</v>
      </c>
      <c r="K88" s="209">
        <f t="shared" si="10"/>
        <v>152.04</v>
      </c>
    </row>
    <row r="89" spans="1:11" s="128" customFormat="1" ht="87.75" customHeight="1" x14ac:dyDescent="0.25">
      <c r="A89" s="215" t="s">
        <v>180</v>
      </c>
      <c r="B89" s="356" t="s">
        <v>347</v>
      </c>
      <c r="C89" s="211" t="s">
        <v>95</v>
      </c>
      <c r="D89" s="502" t="s">
        <v>530</v>
      </c>
      <c r="E89" s="503"/>
      <c r="F89" s="504"/>
      <c r="G89" s="211" t="str">
        <f>'MEMÓRIA DE CÁLCULO'!I369</f>
        <v>PÇ</v>
      </c>
      <c r="H89" s="268">
        <v>1</v>
      </c>
      <c r="I89" s="204">
        <v>122.22</v>
      </c>
      <c r="J89" s="204">
        <f t="shared" si="9"/>
        <v>152.04</v>
      </c>
      <c r="K89" s="209">
        <f t="shared" si="10"/>
        <v>152.04</v>
      </c>
    </row>
    <row r="90" spans="1:11" s="128" customFormat="1" ht="35.25" customHeight="1" x14ac:dyDescent="0.25">
      <c r="A90" s="215" t="s">
        <v>181</v>
      </c>
      <c r="B90" s="356">
        <v>89707</v>
      </c>
      <c r="C90" s="211" t="s">
        <v>95</v>
      </c>
      <c r="D90" s="497" t="s">
        <v>678</v>
      </c>
      <c r="E90" s="503"/>
      <c r="F90" s="504"/>
      <c r="G90" s="211" t="str">
        <f>'MEMÓRIA DE CÁLCULO'!I372</f>
        <v>PÇ</v>
      </c>
      <c r="H90" s="268">
        <v>2</v>
      </c>
      <c r="I90" s="204">
        <v>21.6</v>
      </c>
      <c r="J90" s="204">
        <f t="shared" si="9"/>
        <v>26.87</v>
      </c>
      <c r="K90" s="209">
        <f t="shared" si="10"/>
        <v>53.74</v>
      </c>
    </row>
    <row r="91" spans="1:11" s="128" customFormat="1" ht="35.25" customHeight="1" x14ac:dyDescent="0.25">
      <c r="A91" s="215" t="s">
        <v>182</v>
      </c>
      <c r="B91" s="356">
        <v>89708</v>
      </c>
      <c r="C91" s="211" t="s">
        <v>95</v>
      </c>
      <c r="D91" s="497" t="s">
        <v>679</v>
      </c>
      <c r="E91" s="503"/>
      <c r="F91" s="504"/>
      <c r="G91" s="211" t="str">
        <f>'MEMÓRIA DE CÁLCULO'!I375</f>
        <v>PÇ</v>
      </c>
      <c r="H91" s="268">
        <v>3</v>
      </c>
      <c r="I91" s="204">
        <v>50.773000000000003</v>
      </c>
      <c r="J91" s="204">
        <f t="shared" si="9"/>
        <v>63.16</v>
      </c>
      <c r="K91" s="209">
        <f t="shared" si="10"/>
        <v>189.48</v>
      </c>
    </row>
    <row r="92" spans="1:11" s="128" customFormat="1" ht="35.25" customHeight="1" x14ac:dyDescent="0.25">
      <c r="A92" s="215" t="s">
        <v>183</v>
      </c>
      <c r="B92" s="356">
        <v>72295</v>
      </c>
      <c r="C92" s="211" t="s">
        <v>95</v>
      </c>
      <c r="D92" s="502" t="s">
        <v>348</v>
      </c>
      <c r="E92" s="503"/>
      <c r="F92" s="504"/>
      <c r="G92" s="211" t="str">
        <f>'MEMÓRIA DE CÁLCULO'!I378</f>
        <v>PÇ</v>
      </c>
      <c r="H92" s="268">
        <v>1</v>
      </c>
      <c r="I92" s="204">
        <v>10.47</v>
      </c>
      <c r="J92" s="204">
        <f t="shared" si="9"/>
        <v>13.02</v>
      </c>
      <c r="K92" s="209">
        <f t="shared" si="10"/>
        <v>13.02</v>
      </c>
    </row>
    <row r="93" spans="1:11" s="128" customFormat="1" ht="35.25" customHeight="1" x14ac:dyDescent="0.25">
      <c r="A93" s="215" t="s">
        <v>184</v>
      </c>
      <c r="B93" s="356">
        <v>11886</v>
      </c>
      <c r="C93" s="211" t="s">
        <v>95</v>
      </c>
      <c r="D93" s="502" t="s">
        <v>531</v>
      </c>
      <c r="E93" s="503"/>
      <c r="F93" s="504"/>
      <c r="G93" s="211" t="str">
        <f>'MEMÓRIA DE CÁLCULO'!I381</f>
        <v>PÇ</v>
      </c>
      <c r="H93" s="268">
        <v>1</v>
      </c>
      <c r="I93" s="204">
        <v>1424.91</v>
      </c>
      <c r="J93" s="204">
        <f t="shared" ref="J93:J111" si="11">ROUNDDOWN(I93*$L$10,2)</f>
        <v>1772.58</v>
      </c>
      <c r="K93" s="209">
        <f t="shared" ref="K93:K110" si="12">ROUNDDOWN(H93*J93,2)</f>
        <v>1772.58</v>
      </c>
    </row>
    <row r="94" spans="1:11" s="128" customFormat="1" ht="35.25" customHeight="1" x14ac:dyDescent="0.25">
      <c r="A94" s="215" t="s">
        <v>185</v>
      </c>
      <c r="B94" s="356">
        <v>11886</v>
      </c>
      <c r="C94" s="211" t="s">
        <v>95</v>
      </c>
      <c r="D94" s="502" t="s">
        <v>349</v>
      </c>
      <c r="E94" s="503"/>
      <c r="F94" s="504"/>
      <c r="G94" s="211" t="str">
        <f>'MEMÓRIA DE CÁLCULO'!I384</f>
        <v>PÇ</v>
      </c>
      <c r="H94" s="268">
        <v>1</v>
      </c>
      <c r="I94" s="204">
        <v>1424.91</v>
      </c>
      <c r="J94" s="204">
        <f t="shared" si="11"/>
        <v>1772.58</v>
      </c>
      <c r="K94" s="209">
        <f t="shared" si="12"/>
        <v>1772.58</v>
      </c>
    </row>
    <row r="95" spans="1:11" s="128" customFormat="1" ht="63.75" customHeight="1" x14ac:dyDescent="0.25">
      <c r="A95" s="215" t="s">
        <v>186</v>
      </c>
      <c r="B95" s="356" t="s">
        <v>350</v>
      </c>
      <c r="C95" s="211" t="s">
        <v>95</v>
      </c>
      <c r="D95" s="502" t="s">
        <v>532</v>
      </c>
      <c r="E95" s="503"/>
      <c r="F95" s="504"/>
      <c r="G95" s="211" t="str">
        <f>'MEMÓRIA DE CÁLCULO'!I387</f>
        <v>PÇ</v>
      </c>
      <c r="H95" s="268">
        <v>1</v>
      </c>
      <c r="I95" s="204">
        <v>1082.8499999999999</v>
      </c>
      <c r="J95" s="204">
        <f t="shared" si="11"/>
        <v>1347.06</v>
      </c>
      <c r="K95" s="209">
        <f t="shared" si="12"/>
        <v>1347.06</v>
      </c>
    </row>
    <row r="96" spans="1:11" s="128" customFormat="1" ht="35.25" customHeight="1" x14ac:dyDescent="0.25">
      <c r="A96" s="215" t="s">
        <v>187</v>
      </c>
      <c r="B96" s="356">
        <v>89726</v>
      </c>
      <c r="C96" s="211" t="s">
        <v>95</v>
      </c>
      <c r="D96" s="497" t="s">
        <v>703</v>
      </c>
      <c r="E96" s="503"/>
      <c r="F96" s="504"/>
      <c r="G96" s="211" t="str">
        <f>'MEMÓRIA DE CÁLCULO'!I390</f>
        <v>PÇ</v>
      </c>
      <c r="H96" s="268">
        <v>7</v>
      </c>
      <c r="I96" s="204">
        <v>5.2</v>
      </c>
      <c r="J96" s="204">
        <f t="shared" si="11"/>
        <v>6.46</v>
      </c>
      <c r="K96" s="209">
        <f t="shared" si="12"/>
        <v>45.22</v>
      </c>
    </row>
    <row r="97" spans="1:12" s="128" customFormat="1" ht="35.25" customHeight="1" x14ac:dyDescent="0.25">
      <c r="A97" s="215" t="s">
        <v>188</v>
      </c>
      <c r="B97" s="356">
        <v>89724</v>
      </c>
      <c r="C97" s="211" t="s">
        <v>95</v>
      </c>
      <c r="D97" s="497" t="s">
        <v>669</v>
      </c>
      <c r="E97" s="503"/>
      <c r="F97" s="504"/>
      <c r="G97" s="211" t="str">
        <f>'MEMÓRIA DE CÁLCULO'!I393</f>
        <v>PÇ</v>
      </c>
      <c r="H97" s="268">
        <v>2</v>
      </c>
      <c r="I97" s="204">
        <v>5.01</v>
      </c>
      <c r="J97" s="204">
        <f t="shared" si="11"/>
        <v>6.23</v>
      </c>
      <c r="K97" s="209">
        <f t="shared" si="12"/>
        <v>12.46</v>
      </c>
    </row>
    <row r="98" spans="1:12" s="128" customFormat="1" ht="35.25" customHeight="1" x14ac:dyDescent="0.25">
      <c r="A98" s="215" t="s">
        <v>189</v>
      </c>
      <c r="B98" s="356">
        <v>89737</v>
      </c>
      <c r="C98" s="211" t="s">
        <v>95</v>
      </c>
      <c r="D98" s="497" t="s">
        <v>671</v>
      </c>
      <c r="E98" s="503"/>
      <c r="F98" s="504"/>
      <c r="G98" s="211" t="str">
        <f>'MEMÓRIA DE CÁLCULO'!I396</f>
        <v>PÇ</v>
      </c>
      <c r="H98" s="268">
        <v>1</v>
      </c>
      <c r="I98" s="204">
        <v>10.95</v>
      </c>
      <c r="J98" s="204">
        <f t="shared" si="11"/>
        <v>13.62</v>
      </c>
      <c r="K98" s="209">
        <f t="shared" si="12"/>
        <v>13.62</v>
      </c>
    </row>
    <row r="99" spans="1:12" s="128" customFormat="1" ht="35.25" customHeight="1" x14ac:dyDescent="0.25">
      <c r="A99" s="215" t="s">
        <v>190</v>
      </c>
      <c r="B99" s="356">
        <v>89744</v>
      </c>
      <c r="C99" s="211" t="s">
        <v>95</v>
      </c>
      <c r="D99" s="497" t="s">
        <v>670</v>
      </c>
      <c r="E99" s="503"/>
      <c r="F99" s="504"/>
      <c r="G99" s="211" t="str">
        <f>'MEMÓRIA DE CÁLCULO'!I399</f>
        <v>PÇ</v>
      </c>
      <c r="H99" s="268">
        <v>5</v>
      </c>
      <c r="I99" s="204">
        <v>14.66</v>
      </c>
      <c r="J99" s="204">
        <f t="shared" si="11"/>
        <v>18.23</v>
      </c>
      <c r="K99" s="209">
        <f t="shared" si="12"/>
        <v>91.15</v>
      </c>
    </row>
    <row r="100" spans="1:12" s="128" customFormat="1" ht="35.25" customHeight="1" x14ac:dyDescent="0.25">
      <c r="A100" s="215" t="s">
        <v>191</v>
      </c>
      <c r="B100" s="356">
        <v>89797</v>
      </c>
      <c r="C100" s="211" t="s">
        <v>95</v>
      </c>
      <c r="D100" s="497" t="s">
        <v>672</v>
      </c>
      <c r="E100" s="503"/>
      <c r="F100" s="504"/>
      <c r="G100" s="211" t="str">
        <f>'MEMÓRIA DE CÁLCULO'!I402</f>
        <v>PÇ</v>
      </c>
      <c r="H100" s="268">
        <v>4</v>
      </c>
      <c r="I100" s="204">
        <v>27.34</v>
      </c>
      <c r="J100" s="204">
        <f t="shared" si="11"/>
        <v>34.01</v>
      </c>
      <c r="K100" s="209">
        <f t="shared" si="12"/>
        <v>136.04</v>
      </c>
    </row>
    <row r="101" spans="1:12" s="128" customFormat="1" ht="35.25" customHeight="1" x14ac:dyDescent="0.25">
      <c r="A101" s="215" t="s">
        <v>192</v>
      </c>
      <c r="B101" s="356">
        <v>20143</v>
      </c>
      <c r="C101" s="211" t="s">
        <v>95</v>
      </c>
      <c r="D101" s="497" t="s">
        <v>534</v>
      </c>
      <c r="E101" s="503"/>
      <c r="F101" s="504"/>
      <c r="G101" s="211" t="str">
        <f>'MEMÓRIA DE CÁLCULO'!I405</f>
        <v>PÇ</v>
      </c>
      <c r="H101" s="268">
        <v>1</v>
      </c>
      <c r="I101" s="204">
        <v>38.74</v>
      </c>
      <c r="J101" s="204">
        <f t="shared" si="11"/>
        <v>48.19</v>
      </c>
      <c r="K101" s="209">
        <f t="shared" si="12"/>
        <v>48.19</v>
      </c>
    </row>
    <row r="102" spans="1:12" s="128" customFormat="1" ht="35.25" customHeight="1" x14ac:dyDescent="0.25">
      <c r="A102" s="215" t="s">
        <v>193</v>
      </c>
      <c r="B102" s="356">
        <v>20042</v>
      </c>
      <c r="C102" s="211" t="s">
        <v>95</v>
      </c>
      <c r="D102" s="497" t="s">
        <v>535</v>
      </c>
      <c r="E102" s="503"/>
      <c r="F102" s="504"/>
      <c r="G102" s="211" t="str">
        <f>'MEMÓRIA DE CÁLCULO'!I408</f>
        <v>PÇ</v>
      </c>
      <c r="H102" s="268">
        <v>2</v>
      </c>
      <c r="I102" s="204">
        <v>1.39</v>
      </c>
      <c r="J102" s="204">
        <f t="shared" si="11"/>
        <v>1.72</v>
      </c>
      <c r="K102" s="209">
        <f t="shared" si="12"/>
        <v>3.44</v>
      </c>
    </row>
    <row r="103" spans="1:12" s="128" customFormat="1" ht="35.25" customHeight="1" x14ac:dyDescent="0.25">
      <c r="A103" s="215" t="s">
        <v>194</v>
      </c>
      <c r="B103" s="356">
        <v>5102</v>
      </c>
      <c r="C103" s="211" t="s">
        <v>95</v>
      </c>
      <c r="D103" s="502" t="s">
        <v>351</v>
      </c>
      <c r="E103" s="503"/>
      <c r="F103" s="504"/>
      <c r="G103" s="211" t="str">
        <f>'MEMÓRIA DE CÁLCULO'!I411</f>
        <v>PÇ</v>
      </c>
      <c r="H103" s="268">
        <v>2</v>
      </c>
      <c r="I103" s="204">
        <v>8.3000000000000007</v>
      </c>
      <c r="J103" s="204">
        <f t="shared" si="11"/>
        <v>10.32</v>
      </c>
      <c r="K103" s="209">
        <f t="shared" si="12"/>
        <v>20.64</v>
      </c>
    </row>
    <row r="104" spans="1:12" s="128" customFormat="1" ht="35.25" customHeight="1" x14ac:dyDescent="0.25">
      <c r="A104" s="215" t="s">
        <v>195</v>
      </c>
      <c r="B104" s="356">
        <v>20178</v>
      </c>
      <c r="C104" s="211" t="s">
        <v>95</v>
      </c>
      <c r="D104" s="502" t="s">
        <v>352</v>
      </c>
      <c r="E104" s="503"/>
      <c r="F104" s="504"/>
      <c r="G104" s="211" t="str">
        <f>'MEMÓRIA DE CÁLCULO'!I414</f>
        <v>PÇ</v>
      </c>
      <c r="H104" s="268">
        <v>1</v>
      </c>
      <c r="I104" s="204">
        <v>32.89</v>
      </c>
      <c r="J104" s="204">
        <f t="shared" si="11"/>
        <v>40.909999999999997</v>
      </c>
      <c r="K104" s="209">
        <f t="shared" si="12"/>
        <v>40.909999999999997</v>
      </c>
    </row>
    <row r="105" spans="1:12" s="128" customFormat="1" ht="35.25" customHeight="1" x14ac:dyDescent="0.25">
      <c r="A105" s="215" t="s">
        <v>196</v>
      </c>
      <c r="B105" s="356">
        <v>7097</v>
      </c>
      <c r="C105" s="211" t="s">
        <v>95</v>
      </c>
      <c r="D105" s="502" t="s">
        <v>533</v>
      </c>
      <c r="E105" s="503"/>
      <c r="F105" s="504"/>
      <c r="G105" s="211" t="str">
        <f>'MEMÓRIA DE CÁLCULO'!I417</f>
        <v>PÇ</v>
      </c>
      <c r="H105" s="268">
        <v>4</v>
      </c>
      <c r="I105" s="204">
        <v>5.77</v>
      </c>
      <c r="J105" s="204">
        <f t="shared" si="11"/>
        <v>7.17</v>
      </c>
      <c r="K105" s="209">
        <f t="shared" si="12"/>
        <v>28.68</v>
      </c>
    </row>
    <row r="106" spans="1:12" s="128" customFormat="1" ht="35.25" customHeight="1" x14ac:dyDescent="0.25">
      <c r="A106" s="215" t="s">
        <v>197</v>
      </c>
      <c r="B106" s="356">
        <v>89810</v>
      </c>
      <c r="C106" s="211" t="s">
        <v>95</v>
      </c>
      <c r="D106" s="497" t="s">
        <v>673</v>
      </c>
      <c r="E106" s="503"/>
      <c r="F106" s="504"/>
      <c r="G106" s="211" t="str">
        <f>'MEMÓRIA DE CÁLCULO'!I420</f>
        <v>PÇ</v>
      </c>
      <c r="H106" s="268">
        <v>1</v>
      </c>
      <c r="I106" s="204">
        <v>10.84</v>
      </c>
      <c r="J106" s="204">
        <f t="shared" si="11"/>
        <v>13.48</v>
      </c>
      <c r="K106" s="209">
        <f t="shared" si="12"/>
        <v>13.48</v>
      </c>
    </row>
    <row r="107" spans="1:12" s="128" customFormat="1" ht="35.25" customHeight="1" x14ac:dyDescent="0.25">
      <c r="A107" s="215" t="s">
        <v>198</v>
      </c>
      <c r="B107" s="356">
        <v>89714</v>
      </c>
      <c r="C107" s="211" t="s">
        <v>95</v>
      </c>
      <c r="D107" s="497" t="s">
        <v>674</v>
      </c>
      <c r="E107" s="503"/>
      <c r="F107" s="504"/>
      <c r="G107" s="211" t="str">
        <f>'MEMÓRIA DE CÁLCULO'!I423</f>
        <v>m</v>
      </c>
      <c r="H107" s="268">
        <v>30</v>
      </c>
      <c r="I107" s="204">
        <v>35.64</v>
      </c>
      <c r="J107" s="204">
        <f t="shared" si="11"/>
        <v>44.33</v>
      </c>
      <c r="K107" s="209">
        <f t="shared" si="12"/>
        <v>1329.9</v>
      </c>
    </row>
    <row r="108" spans="1:12" s="128" customFormat="1" ht="35.25" customHeight="1" x14ac:dyDescent="0.25">
      <c r="A108" s="215" t="s">
        <v>199</v>
      </c>
      <c r="B108" s="356">
        <v>89713</v>
      </c>
      <c r="C108" s="211" t="s">
        <v>95</v>
      </c>
      <c r="D108" s="497" t="s">
        <v>675</v>
      </c>
      <c r="E108" s="503"/>
      <c r="F108" s="504"/>
      <c r="G108" s="211" t="str">
        <f>'MEMÓRIA DE CÁLCULO'!I426</f>
        <v>m</v>
      </c>
      <c r="H108" s="268">
        <v>12</v>
      </c>
      <c r="I108" s="204">
        <v>27.89</v>
      </c>
      <c r="J108" s="204">
        <f t="shared" si="11"/>
        <v>34.69</v>
      </c>
      <c r="K108" s="209">
        <f t="shared" si="12"/>
        <v>416.28</v>
      </c>
    </row>
    <row r="109" spans="1:12" s="128" customFormat="1" ht="35.25" customHeight="1" x14ac:dyDescent="0.25">
      <c r="A109" s="215" t="s">
        <v>200</v>
      </c>
      <c r="B109" s="356">
        <v>89712</v>
      </c>
      <c r="C109" s="211" t="s">
        <v>95</v>
      </c>
      <c r="D109" s="497" t="s">
        <v>676</v>
      </c>
      <c r="E109" s="503"/>
      <c r="F109" s="504"/>
      <c r="G109" s="211" t="str">
        <f>'MEMÓRIA DE CÁLCULO'!I429</f>
        <v>m</v>
      </c>
      <c r="H109" s="268">
        <v>12</v>
      </c>
      <c r="I109" s="204">
        <v>18.7</v>
      </c>
      <c r="J109" s="204">
        <f t="shared" si="11"/>
        <v>23.26</v>
      </c>
      <c r="K109" s="209">
        <f t="shared" si="12"/>
        <v>279.12</v>
      </c>
    </row>
    <row r="110" spans="1:12" s="128" customFormat="1" ht="35.25" customHeight="1" x14ac:dyDescent="0.25">
      <c r="A110" s="215" t="s">
        <v>201</v>
      </c>
      <c r="B110" s="356">
        <v>89711</v>
      </c>
      <c r="C110" s="211" t="s">
        <v>95</v>
      </c>
      <c r="D110" s="497" t="s">
        <v>677</v>
      </c>
      <c r="E110" s="503"/>
      <c r="F110" s="504"/>
      <c r="G110" s="211" t="str">
        <f>'MEMÓRIA DE CÁLCULO'!I432</f>
        <v>m</v>
      </c>
      <c r="H110" s="268">
        <v>12</v>
      </c>
      <c r="I110" s="204">
        <v>12.14</v>
      </c>
      <c r="J110" s="204">
        <f t="shared" si="11"/>
        <v>15.1</v>
      </c>
      <c r="K110" s="209">
        <f t="shared" si="12"/>
        <v>181.2</v>
      </c>
    </row>
    <row r="111" spans="1:12" s="128" customFormat="1" ht="35.25" customHeight="1" x14ac:dyDescent="0.25">
      <c r="A111" s="215" t="s">
        <v>501</v>
      </c>
      <c r="B111" s="356">
        <v>180304</v>
      </c>
      <c r="C111" s="216" t="s">
        <v>424</v>
      </c>
      <c r="D111" s="497" t="s">
        <v>504</v>
      </c>
      <c r="E111" s="498"/>
      <c r="F111" s="499"/>
      <c r="G111" s="216" t="s">
        <v>459</v>
      </c>
      <c r="H111" s="268">
        <v>1</v>
      </c>
      <c r="I111" s="352">
        <v>842.67</v>
      </c>
      <c r="J111" s="204">
        <f t="shared" si="11"/>
        <v>1048.28</v>
      </c>
      <c r="K111" s="209">
        <f t="shared" ref="K111" si="13">ROUNDDOWN(H111*J111,2)</f>
        <v>1048.28</v>
      </c>
      <c r="L111" s="270">
        <f>ROUNDDOWN(967.52/1.2764,2)</f>
        <v>758</v>
      </c>
    </row>
    <row r="112" spans="1:12" x14ac:dyDescent="0.25">
      <c r="A112" s="505"/>
      <c r="B112" s="495"/>
      <c r="C112" s="495"/>
      <c r="D112" s="495"/>
      <c r="E112" s="495"/>
      <c r="F112" s="495"/>
      <c r="G112" s="495"/>
      <c r="H112" s="495"/>
      <c r="I112" s="506" t="s">
        <v>106</v>
      </c>
      <c r="J112" s="506"/>
      <c r="K112" s="217">
        <f>SUM(K61:K111)</f>
        <v>13156.080000000004</v>
      </c>
    </row>
    <row r="113" spans="1:11" x14ac:dyDescent="0.25">
      <c r="A113" s="133" t="s">
        <v>202</v>
      </c>
      <c r="B113" s="500" t="s">
        <v>203</v>
      </c>
      <c r="C113" s="500"/>
      <c r="D113" s="500"/>
      <c r="E113" s="500"/>
      <c r="F113" s="500"/>
      <c r="G113" s="500"/>
      <c r="H113" s="500"/>
      <c r="I113" s="500"/>
      <c r="J113" s="500"/>
      <c r="K113" s="501"/>
    </row>
    <row r="114" spans="1:11" ht="84" customHeight="1" x14ac:dyDescent="0.25">
      <c r="A114" s="215" t="s">
        <v>204</v>
      </c>
      <c r="B114" s="355" t="s">
        <v>205</v>
      </c>
      <c r="C114" s="356" t="s">
        <v>95</v>
      </c>
      <c r="D114" s="507" t="s">
        <v>206</v>
      </c>
      <c r="E114" s="507"/>
      <c r="F114" s="507"/>
      <c r="G114" s="211" t="s">
        <v>207</v>
      </c>
      <c r="H114" s="268">
        <v>5</v>
      </c>
      <c r="I114" s="204">
        <v>11.61</v>
      </c>
      <c r="J114" s="204">
        <f t="shared" ref="J114:J146" si="14">ROUNDDOWN(I114*$L$10,2)</f>
        <v>14.44</v>
      </c>
      <c r="K114" s="209">
        <f t="shared" ref="K114:K145" si="15">ROUNDDOWN(H114*J114,2)</f>
        <v>72.2</v>
      </c>
    </row>
    <row r="115" spans="1:11" ht="85.5" customHeight="1" x14ac:dyDescent="0.25">
      <c r="A115" s="215" t="s">
        <v>208</v>
      </c>
      <c r="B115" s="356" t="s">
        <v>209</v>
      </c>
      <c r="C115" s="356" t="s">
        <v>95</v>
      </c>
      <c r="D115" s="507" t="s">
        <v>210</v>
      </c>
      <c r="E115" s="507"/>
      <c r="F115" s="507"/>
      <c r="G115" s="211" t="s">
        <v>207</v>
      </c>
      <c r="H115" s="268">
        <v>3</v>
      </c>
      <c r="I115" s="204">
        <v>54.41</v>
      </c>
      <c r="J115" s="204">
        <f t="shared" si="14"/>
        <v>67.680000000000007</v>
      </c>
      <c r="K115" s="209">
        <f t="shared" si="15"/>
        <v>203.04</v>
      </c>
    </row>
    <row r="116" spans="1:11" ht="35.25" customHeight="1" x14ac:dyDescent="0.25">
      <c r="A116" s="215" t="s">
        <v>211</v>
      </c>
      <c r="B116" s="495" t="s">
        <v>705</v>
      </c>
      <c r="C116" s="496"/>
      <c r="D116" s="507" t="s">
        <v>213</v>
      </c>
      <c r="E116" s="507"/>
      <c r="F116" s="507"/>
      <c r="G116" s="211" t="s">
        <v>207</v>
      </c>
      <c r="H116" s="268">
        <v>3</v>
      </c>
      <c r="I116" s="204">
        <v>137.88999999999999</v>
      </c>
      <c r="J116" s="204">
        <f t="shared" si="14"/>
        <v>171.53</v>
      </c>
      <c r="K116" s="209">
        <f t="shared" si="15"/>
        <v>514.59</v>
      </c>
    </row>
    <row r="117" spans="1:11" ht="35.25" customHeight="1" x14ac:dyDescent="0.25">
      <c r="A117" s="215" t="s">
        <v>214</v>
      </c>
      <c r="B117" s="356">
        <v>72935</v>
      </c>
      <c r="C117" s="356" t="s">
        <v>95</v>
      </c>
      <c r="D117" s="512" t="s">
        <v>536</v>
      </c>
      <c r="E117" s="507"/>
      <c r="F117" s="507"/>
      <c r="G117" s="211" t="s">
        <v>215</v>
      </c>
      <c r="H117" s="268">
        <v>0.5</v>
      </c>
      <c r="I117" s="204">
        <v>6.34</v>
      </c>
      <c r="J117" s="204">
        <f t="shared" si="14"/>
        <v>7.88</v>
      </c>
      <c r="K117" s="209">
        <f t="shared" si="15"/>
        <v>3.94</v>
      </c>
    </row>
    <row r="118" spans="1:11" ht="35.25" customHeight="1" x14ac:dyDescent="0.25">
      <c r="A118" s="215" t="s">
        <v>216</v>
      </c>
      <c r="B118" s="356">
        <v>72934</v>
      </c>
      <c r="C118" s="356" t="s">
        <v>95</v>
      </c>
      <c r="D118" s="512" t="s">
        <v>537</v>
      </c>
      <c r="E118" s="507"/>
      <c r="F118" s="507"/>
      <c r="G118" s="211" t="s">
        <v>215</v>
      </c>
      <c r="H118" s="268">
        <v>353.6</v>
      </c>
      <c r="I118" s="204">
        <v>4.9800000000000004</v>
      </c>
      <c r="J118" s="204">
        <f t="shared" si="14"/>
        <v>6.19</v>
      </c>
      <c r="K118" s="209">
        <f t="shared" si="15"/>
        <v>2188.7800000000002</v>
      </c>
    </row>
    <row r="119" spans="1:11" ht="35.25" customHeight="1" x14ac:dyDescent="0.25">
      <c r="A119" s="215" t="s">
        <v>217</v>
      </c>
      <c r="B119" s="356">
        <v>73613</v>
      </c>
      <c r="C119" s="356" t="s">
        <v>95</v>
      </c>
      <c r="D119" s="512" t="s">
        <v>538</v>
      </c>
      <c r="E119" s="507"/>
      <c r="F119" s="507"/>
      <c r="G119" s="211" t="s">
        <v>215</v>
      </c>
      <c r="H119" s="268">
        <v>2</v>
      </c>
      <c r="I119" s="204">
        <v>11.28</v>
      </c>
      <c r="J119" s="204">
        <f t="shared" si="14"/>
        <v>14.03</v>
      </c>
      <c r="K119" s="209">
        <f t="shared" si="15"/>
        <v>28.06</v>
      </c>
    </row>
    <row r="120" spans="1:11" ht="35.25" customHeight="1" x14ac:dyDescent="0.25">
      <c r="A120" s="215" t="s">
        <v>218</v>
      </c>
      <c r="B120" s="356" t="s">
        <v>219</v>
      </c>
      <c r="C120" s="356" t="s">
        <v>95</v>
      </c>
      <c r="D120" s="512" t="s">
        <v>539</v>
      </c>
      <c r="E120" s="507"/>
      <c r="F120" s="507"/>
      <c r="G120" s="211" t="s">
        <v>215</v>
      </c>
      <c r="H120" s="268">
        <v>2</v>
      </c>
      <c r="I120" s="204">
        <v>12.85</v>
      </c>
      <c r="J120" s="204">
        <f t="shared" si="14"/>
        <v>15.98</v>
      </c>
      <c r="K120" s="209">
        <f t="shared" si="15"/>
        <v>31.96</v>
      </c>
    </row>
    <row r="121" spans="1:11" ht="35.25" customHeight="1" x14ac:dyDescent="0.25">
      <c r="A121" s="215" t="s">
        <v>220</v>
      </c>
      <c r="B121" s="356">
        <v>55867</v>
      </c>
      <c r="C121" s="356" t="s">
        <v>95</v>
      </c>
      <c r="D121" s="512" t="s">
        <v>540</v>
      </c>
      <c r="E121" s="507"/>
      <c r="F121" s="507"/>
      <c r="G121" s="211" t="s">
        <v>215</v>
      </c>
      <c r="H121" s="268">
        <v>2</v>
      </c>
      <c r="I121" s="204">
        <v>44.36</v>
      </c>
      <c r="J121" s="204">
        <f t="shared" si="14"/>
        <v>55.18</v>
      </c>
      <c r="K121" s="209">
        <f t="shared" si="15"/>
        <v>110.36</v>
      </c>
    </row>
    <row r="122" spans="1:11" ht="35.25" customHeight="1" x14ac:dyDescent="0.25">
      <c r="A122" s="215" t="s">
        <v>221</v>
      </c>
      <c r="B122" s="356">
        <v>83387</v>
      </c>
      <c r="C122" s="356" t="s">
        <v>95</v>
      </c>
      <c r="D122" s="512" t="s">
        <v>541</v>
      </c>
      <c r="E122" s="507"/>
      <c r="F122" s="507"/>
      <c r="G122" s="211" t="s">
        <v>207</v>
      </c>
      <c r="H122" s="268">
        <v>42</v>
      </c>
      <c r="I122" s="204">
        <v>6.25</v>
      </c>
      <c r="J122" s="204">
        <f t="shared" si="14"/>
        <v>7.77</v>
      </c>
      <c r="K122" s="209">
        <f t="shared" si="15"/>
        <v>326.33999999999997</v>
      </c>
    </row>
    <row r="123" spans="1:11" ht="35.25" customHeight="1" x14ac:dyDescent="0.25">
      <c r="A123" s="215" t="s">
        <v>222</v>
      </c>
      <c r="B123" s="356">
        <v>83388</v>
      </c>
      <c r="C123" s="356" t="s">
        <v>95</v>
      </c>
      <c r="D123" s="507" t="s">
        <v>223</v>
      </c>
      <c r="E123" s="507"/>
      <c r="F123" s="507"/>
      <c r="G123" s="211" t="s">
        <v>207</v>
      </c>
      <c r="H123" s="268">
        <v>30</v>
      </c>
      <c r="I123" s="204">
        <v>9.93</v>
      </c>
      <c r="J123" s="204">
        <f t="shared" si="14"/>
        <v>12.35</v>
      </c>
      <c r="K123" s="209">
        <f t="shared" si="15"/>
        <v>370.5</v>
      </c>
    </row>
    <row r="124" spans="1:11" ht="35.25" customHeight="1" x14ac:dyDescent="0.25">
      <c r="A124" s="215" t="s">
        <v>224</v>
      </c>
      <c r="B124" s="356">
        <v>72335</v>
      </c>
      <c r="C124" s="356" t="s">
        <v>95</v>
      </c>
      <c r="D124" s="512" t="s">
        <v>542</v>
      </c>
      <c r="E124" s="507"/>
      <c r="F124" s="507"/>
      <c r="G124" s="211" t="s">
        <v>207</v>
      </c>
      <c r="H124" s="268">
        <v>12</v>
      </c>
      <c r="I124" s="204">
        <v>3.14</v>
      </c>
      <c r="J124" s="204">
        <f t="shared" si="14"/>
        <v>3.9</v>
      </c>
      <c r="K124" s="209">
        <f t="shared" si="15"/>
        <v>46.8</v>
      </c>
    </row>
    <row r="125" spans="1:11" ht="35.25" customHeight="1" x14ac:dyDescent="0.25">
      <c r="A125" s="215" t="s">
        <v>225</v>
      </c>
      <c r="B125" s="495" t="s">
        <v>706</v>
      </c>
      <c r="C125" s="496"/>
      <c r="D125" s="507" t="s">
        <v>227</v>
      </c>
      <c r="E125" s="507"/>
      <c r="F125" s="507"/>
      <c r="G125" s="211" t="s">
        <v>207</v>
      </c>
      <c r="H125" s="268">
        <v>1</v>
      </c>
      <c r="I125" s="204">
        <v>2.84</v>
      </c>
      <c r="J125" s="204">
        <f t="shared" si="14"/>
        <v>3.53</v>
      </c>
      <c r="K125" s="209">
        <f t="shared" si="15"/>
        <v>3.53</v>
      </c>
    </row>
    <row r="126" spans="1:11" ht="35.25" customHeight="1" x14ac:dyDescent="0.25">
      <c r="A126" s="215" t="s">
        <v>228</v>
      </c>
      <c r="B126" s="495" t="s">
        <v>345</v>
      </c>
      <c r="C126" s="496"/>
      <c r="D126" s="507" t="s">
        <v>230</v>
      </c>
      <c r="E126" s="507"/>
      <c r="F126" s="507"/>
      <c r="G126" s="211" t="s">
        <v>207</v>
      </c>
      <c r="H126" s="268">
        <v>33</v>
      </c>
      <c r="I126" s="204">
        <v>2.84</v>
      </c>
      <c r="J126" s="204">
        <f t="shared" si="14"/>
        <v>3.53</v>
      </c>
      <c r="K126" s="209">
        <f t="shared" si="15"/>
        <v>116.49</v>
      </c>
    </row>
    <row r="127" spans="1:11" ht="35.25" customHeight="1" x14ac:dyDescent="0.25">
      <c r="A127" s="215" t="s">
        <v>231</v>
      </c>
      <c r="B127" s="356">
        <v>72334</v>
      </c>
      <c r="C127" s="356" t="s">
        <v>95</v>
      </c>
      <c r="D127" s="512" t="s">
        <v>543</v>
      </c>
      <c r="E127" s="507"/>
      <c r="F127" s="507"/>
      <c r="G127" s="211" t="s">
        <v>207</v>
      </c>
      <c r="H127" s="268">
        <v>2</v>
      </c>
      <c r="I127" s="204">
        <v>11.79</v>
      </c>
      <c r="J127" s="204">
        <f t="shared" si="14"/>
        <v>14.66</v>
      </c>
      <c r="K127" s="209">
        <f t="shared" si="15"/>
        <v>29.32</v>
      </c>
    </row>
    <row r="128" spans="1:11" ht="35.25" customHeight="1" x14ac:dyDescent="0.25">
      <c r="A128" s="215" t="s">
        <v>232</v>
      </c>
      <c r="B128" s="356">
        <v>72331</v>
      </c>
      <c r="C128" s="356" t="s">
        <v>95</v>
      </c>
      <c r="D128" s="512" t="s">
        <v>544</v>
      </c>
      <c r="E128" s="507"/>
      <c r="F128" s="507"/>
      <c r="G128" s="211" t="s">
        <v>207</v>
      </c>
      <c r="H128" s="268">
        <v>4</v>
      </c>
      <c r="I128" s="204">
        <v>9.83</v>
      </c>
      <c r="J128" s="204">
        <f t="shared" si="14"/>
        <v>12.22</v>
      </c>
      <c r="K128" s="209">
        <f t="shared" si="15"/>
        <v>48.88</v>
      </c>
    </row>
    <row r="129" spans="1:11" ht="35.25" customHeight="1" x14ac:dyDescent="0.25">
      <c r="A129" s="215" t="s">
        <v>233</v>
      </c>
      <c r="B129" s="356">
        <v>83467</v>
      </c>
      <c r="C129" s="356" t="s">
        <v>95</v>
      </c>
      <c r="D129" s="512" t="s">
        <v>545</v>
      </c>
      <c r="E129" s="507"/>
      <c r="F129" s="507"/>
      <c r="G129" s="211" t="s">
        <v>207</v>
      </c>
      <c r="H129" s="268">
        <v>2</v>
      </c>
      <c r="I129" s="204">
        <v>29.02</v>
      </c>
      <c r="J129" s="204">
        <f t="shared" si="14"/>
        <v>36.1</v>
      </c>
      <c r="K129" s="209">
        <f t="shared" si="15"/>
        <v>72.2</v>
      </c>
    </row>
    <row r="130" spans="1:11" ht="35.25" customHeight="1" x14ac:dyDescent="0.25">
      <c r="A130" s="215" t="s">
        <v>234</v>
      </c>
      <c r="B130" s="356">
        <v>84227</v>
      </c>
      <c r="C130" s="356" t="s">
        <v>95</v>
      </c>
      <c r="D130" s="512" t="s">
        <v>546</v>
      </c>
      <c r="E130" s="507"/>
      <c r="F130" s="507"/>
      <c r="G130" s="211" t="s">
        <v>207</v>
      </c>
      <c r="H130" s="268">
        <v>2</v>
      </c>
      <c r="I130" s="204">
        <v>32.9</v>
      </c>
      <c r="J130" s="204">
        <f t="shared" si="14"/>
        <v>40.92</v>
      </c>
      <c r="K130" s="209">
        <f t="shared" si="15"/>
        <v>81.84</v>
      </c>
    </row>
    <row r="131" spans="1:11" ht="35.25" customHeight="1" x14ac:dyDescent="0.25">
      <c r="A131" s="215" t="s">
        <v>235</v>
      </c>
      <c r="B131" s="356">
        <v>83540</v>
      </c>
      <c r="C131" s="356" t="s">
        <v>95</v>
      </c>
      <c r="D131" s="507" t="s">
        <v>236</v>
      </c>
      <c r="E131" s="507"/>
      <c r="F131" s="507"/>
      <c r="G131" s="211" t="s">
        <v>207</v>
      </c>
      <c r="H131" s="268">
        <v>25</v>
      </c>
      <c r="I131" s="204">
        <v>11.97</v>
      </c>
      <c r="J131" s="204">
        <f t="shared" si="14"/>
        <v>14.89</v>
      </c>
      <c r="K131" s="209">
        <f t="shared" si="15"/>
        <v>372.25</v>
      </c>
    </row>
    <row r="132" spans="1:11" ht="23.25" customHeight="1" x14ac:dyDescent="0.25">
      <c r="A132" s="215" t="s">
        <v>237</v>
      </c>
      <c r="B132" s="495" t="s">
        <v>226</v>
      </c>
      <c r="C132" s="496"/>
      <c r="D132" s="507" t="s">
        <v>239</v>
      </c>
      <c r="E132" s="507"/>
      <c r="F132" s="507"/>
      <c r="G132" s="211" t="s">
        <v>207</v>
      </c>
      <c r="H132" s="268">
        <v>4</v>
      </c>
      <c r="I132" s="204">
        <v>14.31</v>
      </c>
      <c r="J132" s="204">
        <f t="shared" si="14"/>
        <v>17.8</v>
      </c>
      <c r="K132" s="209">
        <f t="shared" si="15"/>
        <v>71.2</v>
      </c>
    </row>
    <row r="133" spans="1:11" ht="23.25" customHeight="1" x14ac:dyDescent="0.25">
      <c r="A133" s="215" t="s">
        <v>240</v>
      </c>
      <c r="B133" s="495" t="s">
        <v>229</v>
      </c>
      <c r="C133" s="496"/>
      <c r="D133" s="507" t="s">
        <v>242</v>
      </c>
      <c r="E133" s="507"/>
      <c r="F133" s="507"/>
      <c r="G133" s="211" t="s">
        <v>207</v>
      </c>
      <c r="H133" s="268">
        <v>6</v>
      </c>
      <c r="I133" s="204">
        <v>104.2</v>
      </c>
      <c r="J133" s="204">
        <f t="shared" si="14"/>
        <v>129.62</v>
      </c>
      <c r="K133" s="209">
        <f t="shared" si="15"/>
        <v>777.72</v>
      </c>
    </row>
    <row r="134" spans="1:11" ht="48.75" customHeight="1" x14ac:dyDescent="0.25">
      <c r="A134" s="215" t="s">
        <v>243</v>
      </c>
      <c r="B134" s="356" t="s">
        <v>244</v>
      </c>
      <c r="C134" s="356" t="s">
        <v>95</v>
      </c>
      <c r="D134" s="507" t="s">
        <v>245</v>
      </c>
      <c r="E134" s="507"/>
      <c r="F134" s="507"/>
      <c r="G134" s="211" t="s">
        <v>215</v>
      </c>
      <c r="H134" s="268">
        <v>1148.8</v>
      </c>
      <c r="I134" s="204">
        <v>2.5099999999999998</v>
      </c>
      <c r="J134" s="204">
        <f t="shared" si="14"/>
        <v>3.12</v>
      </c>
      <c r="K134" s="209">
        <f t="shared" si="15"/>
        <v>3584.25</v>
      </c>
    </row>
    <row r="135" spans="1:11" ht="48.75" customHeight="1" x14ac:dyDescent="0.25">
      <c r="A135" s="215" t="s">
        <v>246</v>
      </c>
      <c r="B135" s="356" t="s">
        <v>247</v>
      </c>
      <c r="C135" s="356" t="s">
        <v>95</v>
      </c>
      <c r="D135" s="507" t="s">
        <v>248</v>
      </c>
      <c r="E135" s="507"/>
      <c r="F135" s="507"/>
      <c r="G135" s="211" t="s">
        <v>215</v>
      </c>
      <c r="H135" s="268">
        <v>50.4</v>
      </c>
      <c r="I135" s="204">
        <v>4.87</v>
      </c>
      <c r="J135" s="204">
        <f t="shared" si="14"/>
        <v>6.05</v>
      </c>
      <c r="K135" s="209">
        <f t="shared" si="15"/>
        <v>304.92</v>
      </c>
    </row>
    <row r="136" spans="1:11" ht="48.75" customHeight="1" x14ac:dyDescent="0.25">
      <c r="A136" s="215" t="s">
        <v>249</v>
      </c>
      <c r="B136" s="356" t="s">
        <v>250</v>
      </c>
      <c r="C136" s="356" t="s">
        <v>95</v>
      </c>
      <c r="D136" s="507" t="s">
        <v>251</v>
      </c>
      <c r="E136" s="507"/>
      <c r="F136" s="507"/>
      <c r="G136" s="211" t="s">
        <v>207</v>
      </c>
      <c r="H136" s="268">
        <v>8</v>
      </c>
      <c r="I136" s="204">
        <v>97.3</v>
      </c>
      <c r="J136" s="204">
        <f t="shared" si="14"/>
        <v>121.04</v>
      </c>
      <c r="K136" s="209">
        <f t="shared" si="15"/>
        <v>968.32</v>
      </c>
    </row>
    <row r="137" spans="1:11" ht="48.75" customHeight="1" x14ac:dyDescent="0.25">
      <c r="A137" s="215" t="s">
        <v>252</v>
      </c>
      <c r="B137" s="495" t="s">
        <v>238</v>
      </c>
      <c r="C137" s="496"/>
      <c r="D137" s="507" t="s">
        <v>254</v>
      </c>
      <c r="E137" s="507"/>
      <c r="F137" s="507"/>
      <c r="G137" s="211" t="s">
        <v>207</v>
      </c>
      <c r="H137" s="268">
        <v>12</v>
      </c>
      <c r="I137" s="204">
        <v>148.83000000000001</v>
      </c>
      <c r="J137" s="204">
        <f t="shared" si="14"/>
        <v>185.14</v>
      </c>
      <c r="K137" s="209">
        <f t="shared" si="15"/>
        <v>2221.6799999999998</v>
      </c>
    </row>
    <row r="138" spans="1:11" ht="48.75" customHeight="1" x14ac:dyDescent="0.25">
      <c r="A138" s="215" t="s">
        <v>255</v>
      </c>
      <c r="B138" s="495" t="s">
        <v>241</v>
      </c>
      <c r="C138" s="496"/>
      <c r="D138" s="507" t="s">
        <v>257</v>
      </c>
      <c r="E138" s="507"/>
      <c r="F138" s="507"/>
      <c r="G138" s="211" t="s">
        <v>207</v>
      </c>
      <c r="H138" s="268">
        <v>1</v>
      </c>
      <c r="I138" s="204">
        <v>256.5</v>
      </c>
      <c r="J138" s="204">
        <f t="shared" si="14"/>
        <v>319.08</v>
      </c>
      <c r="K138" s="209">
        <f t="shared" si="15"/>
        <v>319.08</v>
      </c>
    </row>
    <row r="139" spans="1:11" ht="48.75" customHeight="1" x14ac:dyDescent="0.25">
      <c r="A139" s="215" t="s">
        <v>258</v>
      </c>
      <c r="B139" s="356" t="s">
        <v>259</v>
      </c>
      <c r="C139" s="356" t="s">
        <v>95</v>
      </c>
      <c r="D139" s="512" t="s">
        <v>547</v>
      </c>
      <c r="E139" s="507"/>
      <c r="F139" s="507"/>
      <c r="G139" s="211" t="s">
        <v>207</v>
      </c>
      <c r="H139" s="268">
        <v>1</v>
      </c>
      <c r="I139" s="204">
        <v>1033.0899999999999</v>
      </c>
      <c r="J139" s="204">
        <f t="shared" si="14"/>
        <v>1285.1600000000001</v>
      </c>
      <c r="K139" s="209">
        <f t="shared" si="15"/>
        <v>1285.1600000000001</v>
      </c>
    </row>
    <row r="140" spans="1:11" ht="48.75" customHeight="1" x14ac:dyDescent="0.25">
      <c r="A140" s="215" t="s">
        <v>260</v>
      </c>
      <c r="B140" s="356">
        <v>72253</v>
      </c>
      <c r="C140" s="356" t="s">
        <v>95</v>
      </c>
      <c r="D140" s="507" t="s">
        <v>261</v>
      </c>
      <c r="E140" s="507"/>
      <c r="F140" s="507"/>
      <c r="G140" s="211" t="s">
        <v>215</v>
      </c>
      <c r="H140" s="268">
        <v>110</v>
      </c>
      <c r="I140" s="204">
        <v>19.96</v>
      </c>
      <c r="J140" s="204">
        <f t="shared" si="14"/>
        <v>24.83</v>
      </c>
      <c r="K140" s="209">
        <f t="shared" si="15"/>
        <v>2731.3</v>
      </c>
    </row>
    <row r="141" spans="1:11" ht="48.75" customHeight="1" x14ac:dyDescent="0.25">
      <c r="A141" s="215" t="s">
        <v>262</v>
      </c>
      <c r="B141" s="356">
        <v>72254</v>
      </c>
      <c r="C141" s="356" t="s">
        <v>95</v>
      </c>
      <c r="D141" s="507" t="s">
        <v>263</v>
      </c>
      <c r="E141" s="507"/>
      <c r="F141" s="507"/>
      <c r="G141" s="211" t="s">
        <v>215</v>
      </c>
      <c r="H141" s="268">
        <v>80</v>
      </c>
      <c r="I141" s="204">
        <v>28.28</v>
      </c>
      <c r="J141" s="204">
        <f t="shared" si="14"/>
        <v>35.18</v>
      </c>
      <c r="K141" s="209">
        <f t="shared" si="15"/>
        <v>2814.4</v>
      </c>
    </row>
    <row r="142" spans="1:11" ht="48.75" customHeight="1" x14ac:dyDescent="0.25">
      <c r="A142" s="215" t="s">
        <v>264</v>
      </c>
      <c r="B142" s="508" t="s">
        <v>253</v>
      </c>
      <c r="C142" s="509"/>
      <c r="D142" s="507" t="s">
        <v>266</v>
      </c>
      <c r="E142" s="507"/>
      <c r="F142" s="507"/>
      <c r="G142" s="211" t="s">
        <v>207</v>
      </c>
      <c r="H142" s="268">
        <v>22</v>
      </c>
      <c r="I142" s="204">
        <v>32.78</v>
      </c>
      <c r="J142" s="204">
        <f t="shared" si="14"/>
        <v>40.770000000000003</v>
      </c>
      <c r="K142" s="209">
        <f t="shared" si="15"/>
        <v>896.94</v>
      </c>
    </row>
    <row r="143" spans="1:11" ht="35.25" customHeight="1" x14ac:dyDescent="0.25">
      <c r="A143" s="366" t="s">
        <v>267</v>
      </c>
      <c r="B143" s="495" t="s">
        <v>256</v>
      </c>
      <c r="C143" s="496"/>
      <c r="D143" s="504" t="s">
        <v>269</v>
      </c>
      <c r="E143" s="507"/>
      <c r="F143" s="507"/>
      <c r="G143" s="211" t="s">
        <v>207</v>
      </c>
      <c r="H143" s="268">
        <v>21</v>
      </c>
      <c r="I143" s="204">
        <v>70.540000000000006</v>
      </c>
      <c r="J143" s="204">
        <f t="shared" si="14"/>
        <v>87.75</v>
      </c>
      <c r="K143" s="209">
        <f t="shared" si="15"/>
        <v>1842.75</v>
      </c>
    </row>
    <row r="144" spans="1:11" ht="35.25" customHeight="1" x14ac:dyDescent="0.25">
      <c r="A144" s="215" t="s">
        <v>270</v>
      </c>
      <c r="B144" s="510" t="s">
        <v>265</v>
      </c>
      <c r="C144" s="511"/>
      <c r="D144" s="507" t="s">
        <v>272</v>
      </c>
      <c r="E144" s="507"/>
      <c r="F144" s="507"/>
      <c r="G144" s="211" t="s">
        <v>207</v>
      </c>
      <c r="H144" s="268">
        <v>100</v>
      </c>
      <c r="I144" s="204">
        <v>15.31</v>
      </c>
      <c r="J144" s="204">
        <f t="shared" si="14"/>
        <v>19.04</v>
      </c>
      <c r="K144" s="209">
        <f t="shared" si="15"/>
        <v>1904</v>
      </c>
    </row>
    <row r="145" spans="1:11" ht="61.5" customHeight="1" x14ac:dyDescent="0.25">
      <c r="A145" s="215" t="s">
        <v>273</v>
      </c>
      <c r="B145" s="495" t="s">
        <v>268</v>
      </c>
      <c r="C145" s="496"/>
      <c r="D145" s="507" t="s">
        <v>275</v>
      </c>
      <c r="E145" s="507"/>
      <c r="F145" s="507"/>
      <c r="G145" s="211" t="s">
        <v>207</v>
      </c>
      <c r="H145" s="268">
        <v>4</v>
      </c>
      <c r="I145" s="204">
        <v>55.9</v>
      </c>
      <c r="J145" s="204">
        <f t="shared" si="14"/>
        <v>69.53</v>
      </c>
      <c r="K145" s="209">
        <f t="shared" si="15"/>
        <v>278.12</v>
      </c>
    </row>
    <row r="146" spans="1:11" s="27" customFormat="1" ht="61.5" customHeight="1" x14ac:dyDescent="0.25">
      <c r="A146" s="215" t="s">
        <v>503</v>
      </c>
      <c r="B146" s="495" t="s">
        <v>271</v>
      </c>
      <c r="C146" s="496"/>
      <c r="D146" s="497" t="s">
        <v>447</v>
      </c>
      <c r="E146" s="498"/>
      <c r="F146" s="499"/>
      <c r="G146" s="208" t="s">
        <v>459</v>
      </c>
      <c r="H146" s="268">
        <v>1</v>
      </c>
      <c r="I146" s="204">
        <v>356.36</v>
      </c>
      <c r="J146" s="204">
        <f t="shared" si="14"/>
        <v>443.31</v>
      </c>
      <c r="K146" s="209">
        <f t="shared" ref="K146" si="16">ROUNDDOWN(H146*J146,2)</f>
        <v>443.31</v>
      </c>
    </row>
    <row r="147" spans="1:11" x14ac:dyDescent="0.25">
      <c r="A147" s="505"/>
      <c r="B147" s="495"/>
      <c r="C147" s="495"/>
      <c r="D147" s="495"/>
      <c r="E147" s="495"/>
      <c r="F147" s="495"/>
      <c r="G147" s="495"/>
      <c r="H147" s="495"/>
      <c r="I147" s="506" t="s">
        <v>106</v>
      </c>
      <c r="J147" s="506"/>
      <c r="K147" s="217">
        <f>SUM(K114:K146)</f>
        <v>25064.23</v>
      </c>
    </row>
    <row r="148" spans="1:11" x14ac:dyDescent="0.25">
      <c r="A148" s="133" t="s">
        <v>276</v>
      </c>
      <c r="B148" s="500" t="s">
        <v>277</v>
      </c>
      <c r="C148" s="500"/>
      <c r="D148" s="500"/>
      <c r="E148" s="500"/>
      <c r="F148" s="500"/>
      <c r="G148" s="500"/>
      <c r="H148" s="500"/>
      <c r="I148" s="500"/>
      <c r="J148" s="500"/>
      <c r="K148" s="501"/>
    </row>
    <row r="149" spans="1:11" ht="81.75" customHeight="1" x14ac:dyDescent="0.25">
      <c r="A149" s="215" t="s">
        <v>278</v>
      </c>
      <c r="B149" s="356">
        <v>86932</v>
      </c>
      <c r="C149" s="211" t="s">
        <v>95</v>
      </c>
      <c r="D149" s="502" t="s">
        <v>548</v>
      </c>
      <c r="E149" s="503"/>
      <c r="F149" s="504"/>
      <c r="G149" s="211" t="str">
        <f>'MEMÓRIA DE CÁLCULO'!I541</f>
        <v>PÇ</v>
      </c>
      <c r="H149" s="268">
        <v>4</v>
      </c>
      <c r="I149" s="204">
        <v>352.15</v>
      </c>
      <c r="J149" s="204">
        <f t="shared" ref="J149:J157" si="17">ROUNDDOWN(I149*$L$10,2)</f>
        <v>438.07</v>
      </c>
      <c r="K149" s="209">
        <f t="shared" ref="K149:K157" si="18">ROUNDDOWN(H149*J149,2)</f>
        <v>1752.28</v>
      </c>
    </row>
    <row r="150" spans="1:11" ht="36" customHeight="1" x14ac:dyDescent="0.25">
      <c r="A150" s="215" t="s">
        <v>279</v>
      </c>
      <c r="B150" s="356">
        <v>11693</v>
      </c>
      <c r="C150" s="211" t="s">
        <v>95</v>
      </c>
      <c r="D150" s="502" t="s">
        <v>549</v>
      </c>
      <c r="E150" s="503"/>
      <c r="F150" s="504"/>
      <c r="G150" s="211" t="str">
        <f>'MEMÓRIA DE CÁLCULO'!I544</f>
        <v>m²</v>
      </c>
      <c r="H150" s="268">
        <v>2.04</v>
      </c>
      <c r="I150" s="204">
        <v>80.38</v>
      </c>
      <c r="J150" s="204">
        <f t="shared" si="17"/>
        <v>99.99</v>
      </c>
      <c r="K150" s="209">
        <f t="shared" si="18"/>
        <v>203.97</v>
      </c>
    </row>
    <row r="151" spans="1:11" ht="36" customHeight="1" x14ac:dyDescent="0.25">
      <c r="A151" s="215" t="s">
        <v>280</v>
      </c>
      <c r="B151" s="356">
        <v>1747</v>
      </c>
      <c r="C151" s="211" t="s">
        <v>95</v>
      </c>
      <c r="D151" s="502" t="s">
        <v>355</v>
      </c>
      <c r="E151" s="503"/>
      <c r="F151" s="504"/>
      <c r="G151" s="211" t="str">
        <f>'MEMÓRIA DE CÁLCULO'!I547</f>
        <v>PÇ</v>
      </c>
      <c r="H151" s="268">
        <v>1</v>
      </c>
      <c r="I151" s="204">
        <v>125.93</v>
      </c>
      <c r="J151" s="204">
        <f t="shared" si="17"/>
        <v>156.65</v>
      </c>
      <c r="K151" s="209">
        <f t="shared" si="18"/>
        <v>156.65</v>
      </c>
    </row>
    <row r="152" spans="1:11" ht="36" customHeight="1" x14ac:dyDescent="0.25">
      <c r="A152" s="215" t="s">
        <v>281</v>
      </c>
      <c r="B152" s="356">
        <v>1370</v>
      </c>
      <c r="C152" s="211" t="s">
        <v>95</v>
      </c>
      <c r="D152" s="502" t="s">
        <v>550</v>
      </c>
      <c r="E152" s="503"/>
      <c r="F152" s="504"/>
      <c r="G152" s="211" t="str">
        <f>'MEMÓRIA DE CÁLCULO'!I550</f>
        <v>PÇ</v>
      </c>
      <c r="H152" s="268">
        <v>4</v>
      </c>
      <c r="I152" s="204">
        <v>50.78</v>
      </c>
      <c r="J152" s="204">
        <f t="shared" si="17"/>
        <v>63.17</v>
      </c>
      <c r="K152" s="209">
        <f t="shared" si="18"/>
        <v>252.68</v>
      </c>
    </row>
    <row r="153" spans="1:11" ht="57" customHeight="1" x14ac:dyDescent="0.25">
      <c r="A153" s="215" t="s">
        <v>282</v>
      </c>
      <c r="B153" s="356">
        <v>11696</v>
      </c>
      <c r="C153" s="211" t="s">
        <v>95</v>
      </c>
      <c r="D153" s="502" t="s">
        <v>551</v>
      </c>
      <c r="E153" s="503"/>
      <c r="F153" s="504"/>
      <c r="G153" s="211" t="str">
        <f>'MEMÓRIA DE CÁLCULO'!I349</f>
        <v>PÇ</v>
      </c>
      <c r="H153" s="268">
        <v>4</v>
      </c>
      <c r="I153" s="204">
        <v>107.23</v>
      </c>
      <c r="J153" s="204">
        <f t="shared" si="17"/>
        <v>133.38999999999999</v>
      </c>
      <c r="K153" s="209">
        <f t="shared" si="18"/>
        <v>533.55999999999995</v>
      </c>
    </row>
    <row r="154" spans="1:11" ht="29.25" customHeight="1" x14ac:dyDescent="0.25">
      <c r="A154" s="215" t="s">
        <v>283</v>
      </c>
      <c r="B154" s="356">
        <v>11692</v>
      </c>
      <c r="C154" s="211" t="s">
        <v>95</v>
      </c>
      <c r="D154" s="502" t="s">
        <v>552</v>
      </c>
      <c r="E154" s="503"/>
      <c r="F154" s="504"/>
      <c r="G154" s="211" t="s">
        <v>284</v>
      </c>
      <c r="H154" s="268">
        <v>1.4</v>
      </c>
      <c r="I154" s="204">
        <v>162.38</v>
      </c>
      <c r="J154" s="204">
        <f t="shared" si="17"/>
        <v>202</v>
      </c>
      <c r="K154" s="209">
        <f t="shared" si="18"/>
        <v>282.8</v>
      </c>
    </row>
    <row r="155" spans="1:11" ht="78.75" customHeight="1" x14ac:dyDescent="0.25">
      <c r="A155" s="215" t="s">
        <v>285</v>
      </c>
      <c r="B155" s="356" t="s">
        <v>356</v>
      </c>
      <c r="C155" s="211" t="s">
        <v>95</v>
      </c>
      <c r="D155" s="502" t="s">
        <v>553</v>
      </c>
      <c r="E155" s="503"/>
      <c r="F155" s="504"/>
      <c r="G155" s="211" t="s">
        <v>207</v>
      </c>
      <c r="H155" s="268">
        <v>1</v>
      </c>
      <c r="I155" s="204">
        <v>399.09</v>
      </c>
      <c r="J155" s="204">
        <f t="shared" si="17"/>
        <v>496.46</v>
      </c>
      <c r="K155" s="209">
        <f t="shared" si="18"/>
        <v>496.46</v>
      </c>
    </row>
    <row r="156" spans="1:11" ht="47.25" customHeight="1" x14ac:dyDescent="0.25">
      <c r="A156" s="215" t="s">
        <v>286</v>
      </c>
      <c r="B156" s="356">
        <v>86906</v>
      </c>
      <c r="C156" s="211" t="s">
        <v>95</v>
      </c>
      <c r="D156" s="502" t="s">
        <v>357</v>
      </c>
      <c r="E156" s="503"/>
      <c r="F156" s="504"/>
      <c r="G156" s="211" t="s">
        <v>207</v>
      </c>
      <c r="H156" s="268">
        <v>4</v>
      </c>
      <c r="I156" s="204">
        <v>27.76</v>
      </c>
      <c r="J156" s="204">
        <f t="shared" si="17"/>
        <v>34.53</v>
      </c>
      <c r="K156" s="209">
        <f t="shared" si="18"/>
        <v>138.12</v>
      </c>
    </row>
    <row r="157" spans="1:11" ht="47.25" customHeight="1" x14ac:dyDescent="0.25">
      <c r="A157" s="215" t="s">
        <v>287</v>
      </c>
      <c r="B157" s="356">
        <v>86912</v>
      </c>
      <c r="C157" s="211" t="s">
        <v>95</v>
      </c>
      <c r="D157" s="502" t="s">
        <v>358</v>
      </c>
      <c r="E157" s="503"/>
      <c r="F157" s="504"/>
      <c r="G157" s="211" t="s">
        <v>207</v>
      </c>
      <c r="H157" s="268">
        <v>1</v>
      </c>
      <c r="I157" s="204">
        <v>40.25</v>
      </c>
      <c r="J157" s="204">
        <f t="shared" si="17"/>
        <v>50.07</v>
      </c>
      <c r="K157" s="209">
        <f t="shared" si="18"/>
        <v>50.07</v>
      </c>
    </row>
    <row r="158" spans="1:11" x14ac:dyDescent="0.25">
      <c r="A158" s="505"/>
      <c r="B158" s="495"/>
      <c r="C158" s="495"/>
      <c r="D158" s="495"/>
      <c r="E158" s="495"/>
      <c r="F158" s="495"/>
      <c r="G158" s="495"/>
      <c r="H158" s="495"/>
      <c r="I158" s="506" t="s">
        <v>106</v>
      </c>
      <c r="J158" s="506"/>
      <c r="K158" s="217">
        <f>SUM(K149:K157)</f>
        <v>3866.59</v>
      </c>
    </row>
    <row r="159" spans="1:11" x14ac:dyDescent="0.25">
      <c r="A159" s="133" t="s">
        <v>288</v>
      </c>
      <c r="B159" s="500" t="s">
        <v>290</v>
      </c>
      <c r="C159" s="500"/>
      <c r="D159" s="500"/>
      <c r="E159" s="500"/>
      <c r="F159" s="500"/>
      <c r="G159" s="500"/>
      <c r="H159" s="500"/>
      <c r="I159" s="500"/>
      <c r="J159" s="500"/>
      <c r="K159" s="501"/>
    </row>
    <row r="160" spans="1:11" s="27" customFormat="1" ht="49.5" customHeight="1" x14ac:dyDescent="0.25">
      <c r="A160" s="303" t="s">
        <v>651</v>
      </c>
      <c r="B160" s="356">
        <v>88485</v>
      </c>
      <c r="C160" s="211" t="s">
        <v>95</v>
      </c>
      <c r="D160" s="502" t="s">
        <v>444</v>
      </c>
      <c r="E160" s="503"/>
      <c r="F160" s="504"/>
      <c r="G160" s="208" t="s">
        <v>284</v>
      </c>
      <c r="H160" s="268">
        <v>353.42399999999998</v>
      </c>
      <c r="I160" s="204">
        <v>2.5299999999999998</v>
      </c>
      <c r="J160" s="204">
        <f t="shared" ref="J160:J161" si="19">ROUNDDOWN(I160*$L$10,2)</f>
        <v>3.14</v>
      </c>
      <c r="K160" s="209">
        <f t="shared" ref="K160:K161" si="20">ROUNDDOWN(H160*J160,2)</f>
        <v>1109.75</v>
      </c>
    </row>
    <row r="161" spans="1:14" s="27" customFormat="1" ht="49.5" customHeight="1" x14ac:dyDescent="0.25">
      <c r="A161" s="303" t="s">
        <v>652</v>
      </c>
      <c r="B161" s="356">
        <v>88489</v>
      </c>
      <c r="C161" s="211" t="s">
        <v>95</v>
      </c>
      <c r="D161" s="502" t="s">
        <v>445</v>
      </c>
      <c r="E161" s="503"/>
      <c r="F161" s="504"/>
      <c r="G161" s="208" t="s">
        <v>284</v>
      </c>
      <c r="H161" s="268">
        <v>353.42399999999998</v>
      </c>
      <c r="I161" s="204">
        <v>8.7200000000000006</v>
      </c>
      <c r="J161" s="204">
        <f t="shared" si="19"/>
        <v>10.84</v>
      </c>
      <c r="K161" s="209">
        <f t="shared" si="20"/>
        <v>3831.11</v>
      </c>
    </row>
    <row r="162" spans="1:14" s="27" customFormat="1" ht="49.5" customHeight="1" x14ac:dyDescent="0.25">
      <c r="A162" s="303" t="s">
        <v>653</v>
      </c>
      <c r="B162" s="356">
        <v>6082</v>
      </c>
      <c r="C162" s="266" t="s">
        <v>95</v>
      </c>
      <c r="D162" s="502" t="s">
        <v>558</v>
      </c>
      <c r="E162" s="503"/>
      <c r="F162" s="504"/>
      <c r="G162" s="265" t="s">
        <v>284</v>
      </c>
      <c r="H162" s="268">
        <v>16.8</v>
      </c>
      <c r="I162" s="204">
        <v>12.14</v>
      </c>
      <c r="J162" s="204">
        <f t="shared" ref="J162" si="21">ROUNDDOWN(I162*$L$10,2)</f>
        <v>15.1</v>
      </c>
      <c r="K162" s="209">
        <f t="shared" ref="K162" si="22">ROUNDDOWN(H162*J162,2)</f>
        <v>253.68</v>
      </c>
    </row>
    <row r="163" spans="1:14" s="27" customFormat="1" ht="21" customHeight="1" x14ac:dyDescent="0.25">
      <c r="A163" s="505"/>
      <c r="B163" s="495"/>
      <c r="C163" s="495"/>
      <c r="D163" s="495"/>
      <c r="E163" s="495"/>
      <c r="F163" s="495"/>
      <c r="G163" s="495"/>
      <c r="H163" s="495"/>
      <c r="I163" s="506" t="s">
        <v>106</v>
      </c>
      <c r="J163" s="506"/>
      <c r="K163" s="217">
        <f>SUM(K160:K162)</f>
        <v>5194.5400000000009</v>
      </c>
    </row>
    <row r="164" spans="1:14" s="27" customFormat="1" x14ac:dyDescent="0.25">
      <c r="A164" s="133" t="s">
        <v>289</v>
      </c>
      <c r="B164" s="500" t="s">
        <v>496</v>
      </c>
      <c r="C164" s="500"/>
      <c r="D164" s="500"/>
      <c r="E164" s="500"/>
      <c r="F164" s="500"/>
      <c r="G164" s="500"/>
      <c r="H164" s="500"/>
      <c r="I164" s="500"/>
      <c r="J164" s="500"/>
      <c r="K164" s="501"/>
    </row>
    <row r="165" spans="1:14" s="27" customFormat="1" ht="50.25" customHeight="1" x14ac:dyDescent="0.25">
      <c r="A165" s="296" t="s">
        <v>291</v>
      </c>
      <c r="B165" s="356">
        <v>4481</v>
      </c>
      <c r="C165" s="298" t="s">
        <v>95</v>
      </c>
      <c r="D165" s="512" t="s">
        <v>650</v>
      </c>
      <c r="E165" s="507"/>
      <c r="F165" s="507"/>
      <c r="G165" s="297" t="s">
        <v>215</v>
      </c>
      <c r="H165" s="268">
        <v>6</v>
      </c>
      <c r="I165" s="204">
        <v>32.58</v>
      </c>
      <c r="J165" s="204">
        <f>ROUNDDOWN(I165*$L$10,2)</f>
        <v>40.520000000000003</v>
      </c>
      <c r="K165" s="209">
        <f>ROUNDDOWN(H165*J165,2)</f>
        <v>243.12</v>
      </c>
    </row>
    <row r="166" spans="1:14" s="27" customFormat="1" ht="50.25" customHeight="1" x14ac:dyDescent="0.25">
      <c r="A166" s="309" t="s">
        <v>292</v>
      </c>
      <c r="B166" s="311">
        <v>110210</v>
      </c>
      <c r="C166" s="310" t="s">
        <v>424</v>
      </c>
      <c r="D166" s="512" t="s">
        <v>659</v>
      </c>
      <c r="E166" s="507"/>
      <c r="F166" s="507"/>
      <c r="G166" s="310" t="s">
        <v>215</v>
      </c>
      <c r="H166" s="268">
        <v>76.64</v>
      </c>
      <c r="I166" s="352">
        <v>41.48</v>
      </c>
      <c r="J166" s="204">
        <f>ROUNDDOWN(I166*$L$10,2)</f>
        <v>51.6</v>
      </c>
      <c r="K166" s="209">
        <f>ROUNDDOWN(H166*J166,2)</f>
        <v>3954.62</v>
      </c>
      <c r="M166" s="27">
        <v>46.27</v>
      </c>
      <c r="N166" s="27">
        <f>M166/1.2764</f>
        <v>36.250391726731436</v>
      </c>
    </row>
    <row r="167" spans="1:14" s="27" customFormat="1" ht="42" customHeight="1" x14ac:dyDescent="0.25">
      <c r="A167" s="309" t="s">
        <v>658</v>
      </c>
      <c r="B167" s="211">
        <v>9537</v>
      </c>
      <c r="C167" s="211" t="s">
        <v>95</v>
      </c>
      <c r="D167" s="512" t="s">
        <v>499</v>
      </c>
      <c r="E167" s="507"/>
      <c r="F167" s="507"/>
      <c r="G167" s="297" t="s">
        <v>284</v>
      </c>
      <c r="H167" s="268">
        <v>266.75</v>
      </c>
      <c r="I167" s="204">
        <v>1.64</v>
      </c>
      <c r="J167" s="204">
        <f>ROUNDDOWN(I167*$L$10,2)</f>
        <v>2.04</v>
      </c>
      <c r="K167" s="209">
        <f>ROUNDDOWN(H167*J167,2)</f>
        <v>544.16999999999996</v>
      </c>
    </row>
    <row r="168" spans="1:14" s="27" customFormat="1" ht="21" customHeight="1" x14ac:dyDescent="0.25">
      <c r="A168" s="505"/>
      <c r="B168" s="495"/>
      <c r="C168" s="495"/>
      <c r="D168" s="495"/>
      <c r="E168" s="495"/>
      <c r="F168" s="495"/>
      <c r="G168" s="495"/>
      <c r="H168" s="495"/>
      <c r="I168" s="506" t="s">
        <v>106</v>
      </c>
      <c r="J168" s="506"/>
      <c r="K168" s="217">
        <f>SUM(K165:K167)</f>
        <v>4741.91</v>
      </c>
    </row>
    <row r="169" spans="1:14" s="27" customFormat="1" ht="21" customHeight="1" thickBot="1" x14ac:dyDescent="0.3">
      <c r="A169" s="532" t="s">
        <v>443</v>
      </c>
      <c r="B169" s="533"/>
      <c r="C169" s="533"/>
      <c r="D169" s="533"/>
      <c r="E169" s="533"/>
      <c r="F169" s="533"/>
      <c r="G169" s="533"/>
      <c r="H169" s="533"/>
      <c r="I169" s="533"/>
      <c r="J169" s="533"/>
      <c r="K169" s="218">
        <f>ROUNDDOWN(SUM(K163+K158+K147+K112+K59+K53+K48+K44+K41+K35+K30+K22+K17+K168),2)</f>
        <v>194002.85</v>
      </c>
    </row>
  </sheetData>
  <mergeCells count="201">
    <mergeCell ref="B164:K164"/>
    <mergeCell ref="D167:F167"/>
    <mergeCell ref="A168:H168"/>
    <mergeCell ref="I168:J168"/>
    <mergeCell ref="A169:J169"/>
    <mergeCell ref="I163:J163"/>
    <mergeCell ref="D160:F160"/>
    <mergeCell ref="D161:F161"/>
    <mergeCell ref="A163:H163"/>
    <mergeCell ref="D162:F162"/>
    <mergeCell ref="D165:F165"/>
    <mergeCell ref="D166:F166"/>
    <mergeCell ref="A1:K1"/>
    <mergeCell ref="A2:H3"/>
    <mergeCell ref="I2:I3"/>
    <mergeCell ref="J2:K2"/>
    <mergeCell ref="J3:K3"/>
    <mergeCell ref="A4:K4"/>
    <mergeCell ref="A5:K5"/>
    <mergeCell ref="A6:K6"/>
    <mergeCell ref="D11:F11"/>
    <mergeCell ref="B18:K18"/>
    <mergeCell ref="D19:F19"/>
    <mergeCell ref="D20:F20"/>
    <mergeCell ref="D21:F21"/>
    <mergeCell ref="A22:H22"/>
    <mergeCell ref="I22:J22"/>
    <mergeCell ref="N6:O6"/>
    <mergeCell ref="A7:K7"/>
    <mergeCell ref="N7:O7"/>
    <mergeCell ref="D8:F8"/>
    <mergeCell ref="B9:K9"/>
    <mergeCell ref="D10:F10"/>
    <mergeCell ref="I17:J17"/>
    <mergeCell ref="D12:F12"/>
    <mergeCell ref="D13:F13"/>
    <mergeCell ref="D14:F14"/>
    <mergeCell ref="D15:F15"/>
    <mergeCell ref="D16:F16"/>
    <mergeCell ref="A17:H17"/>
    <mergeCell ref="M6:M7"/>
    <mergeCell ref="A30:H30"/>
    <mergeCell ref="I30:J30"/>
    <mergeCell ref="B31:K31"/>
    <mergeCell ref="D32:F32"/>
    <mergeCell ref="D29:F29"/>
    <mergeCell ref="B23:K23"/>
    <mergeCell ref="D24:F24"/>
    <mergeCell ref="D25:F25"/>
    <mergeCell ref="D26:F26"/>
    <mergeCell ref="D27:F27"/>
    <mergeCell ref="D28:F28"/>
    <mergeCell ref="B34:C34"/>
    <mergeCell ref="D33:F33"/>
    <mergeCell ref="A35:H35"/>
    <mergeCell ref="I35:J35"/>
    <mergeCell ref="B36:K36"/>
    <mergeCell ref="D34:F34"/>
    <mergeCell ref="D38:F38"/>
    <mergeCell ref="A44:H44"/>
    <mergeCell ref="I44:J44"/>
    <mergeCell ref="B45:K45"/>
    <mergeCell ref="D46:F46"/>
    <mergeCell ref="A48:H48"/>
    <mergeCell ref="I48:J48"/>
    <mergeCell ref="D47:F47"/>
    <mergeCell ref="D37:F37"/>
    <mergeCell ref="D39:F39"/>
    <mergeCell ref="A41:H41"/>
    <mergeCell ref="I41:J41"/>
    <mergeCell ref="B42:K42"/>
    <mergeCell ref="D43:F43"/>
    <mergeCell ref="D40:F40"/>
    <mergeCell ref="B49:K49"/>
    <mergeCell ref="D51:F51"/>
    <mergeCell ref="A53:H53"/>
    <mergeCell ref="I53:J53"/>
    <mergeCell ref="B54:K54"/>
    <mergeCell ref="D50:F50"/>
    <mergeCell ref="D52:F52"/>
    <mergeCell ref="B60:K60"/>
    <mergeCell ref="D61:F61"/>
    <mergeCell ref="I59:J59"/>
    <mergeCell ref="D62:F62"/>
    <mergeCell ref="D63:F63"/>
    <mergeCell ref="D64:F64"/>
    <mergeCell ref="D65:F65"/>
    <mergeCell ref="D66:F66"/>
    <mergeCell ref="D67:F67"/>
    <mergeCell ref="D55:F55"/>
    <mergeCell ref="D56:F56"/>
    <mergeCell ref="A59:H59"/>
    <mergeCell ref="D57:F57"/>
    <mergeCell ref="D58:F58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B113:K113"/>
    <mergeCell ref="D114:F114"/>
    <mergeCell ref="D115:F115"/>
    <mergeCell ref="B116:C116"/>
    <mergeCell ref="D116:F116"/>
    <mergeCell ref="D117:F117"/>
    <mergeCell ref="D118:F118"/>
    <mergeCell ref="D104:F104"/>
    <mergeCell ref="D105:F105"/>
    <mergeCell ref="D106:F106"/>
    <mergeCell ref="D107:F107"/>
    <mergeCell ref="D108:F108"/>
    <mergeCell ref="D109:F109"/>
    <mergeCell ref="D110:F110"/>
    <mergeCell ref="A112:H112"/>
    <mergeCell ref="I112:J112"/>
    <mergeCell ref="D111:F111"/>
    <mergeCell ref="D119:F119"/>
    <mergeCell ref="D120:F120"/>
    <mergeCell ref="D121:F121"/>
    <mergeCell ref="D122:F122"/>
    <mergeCell ref="D123:F123"/>
    <mergeCell ref="D124:F124"/>
    <mergeCell ref="B125:C125"/>
    <mergeCell ref="D125:F125"/>
    <mergeCell ref="B126:C126"/>
    <mergeCell ref="D126:F126"/>
    <mergeCell ref="D127:F127"/>
    <mergeCell ref="D128:F128"/>
    <mergeCell ref="D129:F129"/>
    <mergeCell ref="D130:F130"/>
    <mergeCell ref="D131:F131"/>
    <mergeCell ref="B132:C132"/>
    <mergeCell ref="D132:F132"/>
    <mergeCell ref="B133:C133"/>
    <mergeCell ref="D133:F133"/>
    <mergeCell ref="D141:F141"/>
    <mergeCell ref="B142:C142"/>
    <mergeCell ref="D142:F142"/>
    <mergeCell ref="D143:F143"/>
    <mergeCell ref="B144:C144"/>
    <mergeCell ref="D144:F144"/>
    <mergeCell ref="B145:C145"/>
    <mergeCell ref="D145:F145"/>
    <mergeCell ref="D134:F134"/>
    <mergeCell ref="D135:F135"/>
    <mergeCell ref="D136:F136"/>
    <mergeCell ref="B137:C137"/>
    <mergeCell ref="D137:F137"/>
    <mergeCell ref="B138:C138"/>
    <mergeCell ref="D138:F138"/>
    <mergeCell ref="D139:F139"/>
    <mergeCell ref="D140:F140"/>
    <mergeCell ref="B143:C143"/>
    <mergeCell ref="B146:C146"/>
    <mergeCell ref="D146:F146"/>
    <mergeCell ref="B159:K159"/>
    <mergeCell ref="D153:F153"/>
    <mergeCell ref="D154:F154"/>
    <mergeCell ref="D155:F155"/>
    <mergeCell ref="D156:F156"/>
    <mergeCell ref="D157:F157"/>
    <mergeCell ref="A158:H158"/>
    <mergeCell ref="I158:J158"/>
    <mergeCell ref="A147:H147"/>
    <mergeCell ref="I147:J147"/>
    <mergeCell ref="B148:K148"/>
    <mergeCell ref="D149:F149"/>
    <mergeCell ref="D150:F150"/>
    <mergeCell ref="D151:F151"/>
    <mergeCell ref="D152:F152"/>
  </mergeCells>
  <printOptions horizontalCentered="1"/>
  <pageMargins left="0.51181102362204722" right="0.31496062992125984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1"/>
  <sheetViews>
    <sheetView tabSelected="1" view="pageBreakPreview" zoomScale="85" zoomScaleSheetLayoutView="85" workbookViewId="0">
      <selection activeCell="F6" sqref="F6"/>
    </sheetView>
  </sheetViews>
  <sheetFormatPr defaultRowHeight="15.75" x14ac:dyDescent="0.25"/>
  <cols>
    <col min="1" max="1" width="6.7109375" style="175" bestFit="1" customWidth="1"/>
    <col min="2" max="2" width="35.42578125" style="175" customWidth="1"/>
    <col min="3" max="3" width="19" style="175" bestFit="1" customWidth="1"/>
    <col min="4" max="4" width="18.85546875" style="197" customWidth="1"/>
    <col min="5" max="9" width="18.85546875" style="175" customWidth="1"/>
    <col min="10" max="10" width="26.42578125" style="198" bestFit="1" customWidth="1"/>
    <col min="11" max="250" width="9.140625" style="175"/>
    <col min="251" max="251" width="59.42578125" style="175" bestFit="1" customWidth="1"/>
    <col min="252" max="265" width="5.7109375" style="175" customWidth="1"/>
    <col min="266" max="266" width="11.5703125" style="175" customWidth="1"/>
    <col min="267" max="506" width="9.140625" style="175"/>
    <col min="507" max="507" width="59.42578125" style="175" bestFit="1" customWidth="1"/>
    <col min="508" max="521" width="5.7109375" style="175" customWidth="1"/>
    <col min="522" max="522" width="11.5703125" style="175" customWidth="1"/>
    <col min="523" max="762" width="9.140625" style="175"/>
    <col min="763" max="763" width="59.42578125" style="175" bestFit="1" customWidth="1"/>
    <col min="764" max="777" width="5.7109375" style="175" customWidth="1"/>
    <col min="778" max="778" width="11.5703125" style="175" customWidth="1"/>
    <col min="779" max="1018" width="9.140625" style="175"/>
    <col min="1019" max="1019" width="59.42578125" style="175" bestFit="1" customWidth="1"/>
    <col min="1020" max="1033" width="5.7109375" style="175" customWidth="1"/>
    <col min="1034" max="1034" width="11.5703125" style="175" customWidth="1"/>
    <col min="1035" max="1274" width="9.140625" style="175"/>
    <col min="1275" max="1275" width="59.42578125" style="175" bestFit="1" customWidth="1"/>
    <col min="1276" max="1289" width="5.7109375" style="175" customWidth="1"/>
    <col min="1290" max="1290" width="11.5703125" style="175" customWidth="1"/>
    <col min="1291" max="1530" width="9.140625" style="175"/>
    <col min="1531" max="1531" width="59.42578125" style="175" bestFit="1" customWidth="1"/>
    <col min="1532" max="1545" width="5.7109375" style="175" customWidth="1"/>
    <col min="1546" max="1546" width="11.5703125" style="175" customWidth="1"/>
    <col min="1547" max="1786" width="9.140625" style="175"/>
    <col min="1787" max="1787" width="59.42578125" style="175" bestFit="1" customWidth="1"/>
    <col min="1788" max="1801" width="5.7109375" style="175" customWidth="1"/>
    <col min="1802" max="1802" width="11.5703125" style="175" customWidth="1"/>
    <col min="1803" max="2042" width="9.140625" style="175"/>
    <col min="2043" max="2043" width="59.42578125" style="175" bestFit="1" customWidth="1"/>
    <col min="2044" max="2057" width="5.7109375" style="175" customWidth="1"/>
    <col min="2058" max="2058" width="11.5703125" style="175" customWidth="1"/>
    <col min="2059" max="2298" width="9.140625" style="175"/>
    <col min="2299" max="2299" width="59.42578125" style="175" bestFit="1" customWidth="1"/>
    <col min="2300" max="2313" width="5.7109375" style="175" customWidth="1"/>
    <col min="2314" max="2314" width="11.5703125" style="175" customWidth="1"/>
    <col min="2315" max="2554" width="9.140625" style="175"/>
    <col min="2555" max="2555" width="59.42578125" style="175" bestFit="1" customWidth="1"/>
    <col min="2556" max="2569" width="5.7109375" style="175" customWidth="1"/>
    <col min="2570" max="2570" width="11.5703125" style="175" customWidth="1"/>
    <col min="2571" max="2810" width="9.140625" style="175"/>
    <col min="2811" max="2811" width="59.42578125" style="175" bestFit="1" customWidth="1"/>
    <col min="2812" max="2825" width="5.7109375" style="175" customWidth="1"/>
    <col min="2826" max="2826" width="11.5703125" style="175" customWidth="1"/>
    <col min="2827" max="3066" width="9.140625" style="175"/>
    <col min="3067" max="3067" width="59.42578125" style="175" bestFit="1" customWidth="1"/>
    <col min="3068" max="3081" width="5.7109375" style="175" customWidth="1"/>
    <col min="3082" max="3082" width="11.5703125" style="175" customWidth="1"/>
    <col min="3083" max="3322" width="9.140625" style="175"/>
    <col min="3323" max="3323" width="59.42578125" style="175" bestFit="1" customWidth="1"/>
    <col min="3324" max="3337" width="5.7109375" style="175" customWidth="1"/>
    <col min="3338" max="3338" width="11.5703125" style="175" customWidth="1"/>
    <col min="3339" max="3578" width="9.140625" style="175"/>
    <col min="3579" max="3579" width="59.42578125" style="175" bestFit="1" customWidth="1"/>
    <col min="3580" max="3593" width="5.7109375" style="175" customWidth="1"/>
    <col min="3594" max="3594" width="11.5703125" style="175" customWidth="1"/>
    <col min="3595" max="3834" width="9.140625" style="175"/>
    <col min="3835" max="3835" width="59.42578125" style="175" bestFit="1" customWidth="1"/>
    <col min="3836" max="3849" width="5.7109375" style="175" customWidth="1"/>
    <col min="3850" max="3850" width="11.5703125" style="175" customWidth="1"/>
    <col min="3851" max="4090" width="9.140625" style="175"/>
    <col min="4091" max="4091" width="59.42578125" style="175" bestFit="1" customWidth="1"/>
    <col min="4092" max="4105" width="5.7109375" style="175" customWidth="1"/>
    <col min="4106" max="4106" width="11.5703125" style="175" customWidth="1"/>
    <col min="4107" max="4346" width="9.140625" style="175"/>
    <col min="4347" max="4347" width="59.42578125" style="175" bestFit="1" customWidth="1"/>
    <col min="4348" max="4361" width="5.7109375" style="175" customWidth="1"/>
    <col min="4362" max="4362" width="11.5703125" style="175" customWidth="1"/>
    <col min="4363" max="4602" width="9.140625" style="175"/>
    <col min="4603" max="4603" width="59.42578125" style="175" bestFit="1" customWidth="1"/>
    <col min="4604" max="4617" width="5.7109375" style="175" customWidth="1"/>
    <col min="4618" max="4618" width="11.5703125" style="175" customWidth="1"/>
    <col min="4619" max="4858" width="9.140625" style="175"/>
    <col min="4859" max="4859" width="59.42578125" style="175" bestFit="1" customWidth="1"/>
    <col min="4860" max="4873" width="5.7109375" style="175" customWidth="1"/>
    <col min="4874" max="4874" width="11.5703125" style="175" customWidth="1"/>
    <col min="4875" max="5114" width="9.140625" style="175"/>
    <col min="5115" max="5115" width="59.42578125" style="175" bestFit="1" customWidth="1"/>
    <col min="5116" max="5129" width="5.7109375" style="175" customWidth="1"/>
    <col min="5130" max="5130" width="11.5703125" style="175" customWidth="1"/>
    <col min="5131" max="5370" width="9.140625" style="175"/>
    <col min="5371" max="5371" width="59.42578125" style="175" bestFit="1" customWidth="1"/>
    <col min="5372" max="5385" width="5.7109375" style="175" customWidth="1"/>
    <col min="5386" max="5386" width="11.5703125" style="175" customWidth="1"/>
    <col min="5387" max="5626" width="9.140625" style="175"/>
    <col min="5627" max="5627" width="59.42578125" style="175" bestFit="1" customWidth="1"/>
    <col min="5628" max="5641" width="5.7109375" style="175" customWidth="1"/>
    <col min="5642" max="5642" width="11.5703125" style="175" customWidth="1"/>
    <col min="5643" max="5882" width="9.140625" style="175"/>
    <col min="5883" max="5883" width="59.42578125" style="175" bestFit="1" customWidth="1"/>
    <col min="5884" max="5897" width="5.7109375" style="175" customWidth="1"/>
    <col min="5898" max="5898" width="11.5703125" style="175" customWidth="1"/>
    <col min="5899" max="6138" width="9.140625" style="175"/>
    <col min="6139" max="6139" width="59.42578125" style="175" bestFit="1" customWidth="1"/>
    <col min="6140" max="6153" width="5.7109375" style="175" customWidth="1"/>
    <col min="6154" max="6154" width="11.5703125" style="175" customWidth="1"/>
    <col min="6155" max="6394" width="9.140625" style="175"/>
    <col min="6395" max="6395" width="59.42578125" style="175" bestFit="1" customWidth="1"/>
    <col min="6396" max="6409" width="5.7109375" style="175" customWidth="1"/>
    <col min="6410" max="6410" width="11.5703125" style="175" customWidth="1"/>
    <col min="6411" max="6650" width="9.140625" style="175"/>
    <col min="6651" max="6651" width="59.42578125" style="175" bestFit="1" customWidth="1"/>
    <col min="6652" max="6665" width="5.7109375" style="175" customWidth="1"/>
    <col min="6666" max="6666" width="11.5703125" style="175" customWidth="1"/>
    <col min="6667" max="6906" width="9.140625" style="175"/>
    <col min="6907" max="6907" width="59.42578125" style="175" bestFit="1" customWidth="1"/>
    <col min="6908" max="6921" width="5.7109375" style="175" customWidth="1"/>
    <col min="6922" max="6922" width="11.5703125" style="175" customWidth="1"/>
    <col min="6923" max="7162" width="9.140625" style="175"/>
    <col min="7163" max="7163" width="59.42578125" style="175" bestFit="1" customWidth="1"/>
    <col min="7164" max="7177" width="5.7109375" style="175" customWidth="1"/>
    <col min="7178" max="7178" width="11.5703125" style="175" customWidth="1"/>
    <col min="7179" max="7418" width="9.140625" style="175"/>
    <col min="7419" max="7419" width="59.42578125" style="175" bestFit="1" customWidth="1"/>
    <col min="7420" max="7433" width="5.7109375" style="175" customWidth="1"/>
    <col min="7434" max="7434" width="11.5703125" style="175" customWidth="1"/>
    <col min="7435" max="7674" width="9.140625" style="175"/>
    <col min="7675" max="7675" width="59.42578125" style="175" bestFit="1" customWidth="1"/>
    <col min="7676" max="7689" width="5.7109375" style="175" customWidth="1"/>
    <col min="7690" max="7690" width="11.5703125" style="175" customWidth="1"/>
    <col min="7691" max="7930" width="9.140625" style="175"/>
    <col min="7931" max="7931" width="59.42578125" style="175" bestFit="1" customWidth="1"/>
    <col min="7932" max="7945" width="5.7109375" style="175" customWidth="1"/>
    <col min="7946" max="7946" width="11.5703125" style="175" customWidth="1"/>
    <col min="7947" max="8186" width="9.140625" style="175"/>
    <col min="8187" max="8187" width="59.42578125" style="175" bestFit="1" customWidth="1"/>
    <col min="8188" max="8201" width="5.7109375" style="175" customWidth="1"/>
    <col min="8202" max="8202" width="11.5703125" style="175" customWidth="1"/>
    <col min="8203" max="8442" width="9.140625" style="175"/>
    <col min="8443" max="8443" width="59.42578125" style="175" bestFit="1" customWidth="1"/>
    <col min="8444" max="8457" width="5.7109375" style="175" customWidth="1"/>
    <col min="8458" max="8458" width="11.5703125" style="175" customWidth="1"/>
    <col min="8459" max="8698" width="9.140625" style="175"/>
    <col min="8699" max="8699" width="59.42578125" style="175" bestFit="1" customWidth="1"/>
    <col min="8700" max="8713" width="5.7109375" style="175" customWidth="1"/>
    <col min="8714" max="8714" width="11.5703125" style="175" customWidth="1"/>
    <col min="8715" max="8954" width="9.140625" style="175"/>
    <col min="8955" max="8955" width="59.42578125" style="175" bestFit="1" customWidth="1"/>
    <col min="8956" max="8969" width="5.7109375" style="175" customWidth="1"/>
    <col min="8970" max="8970" width="11.5703125" style="175" customWidth="1"/>
    <col min="8971" max="9210" width="9.140625" style="175"/>
    <col min="9211" max="9211" width="59.42578125" style="175" bestFit="1" customWidth="1"/>
    <col min="9212" max="9225" width="5.7109375" style="175" customWidth="1"/>
    <col min="9226" max="9226" width="11.5703125" style="175" customWidth="1"/>
    <col min="9227" max="9466" width="9.140625" style="175"/>
    <col min="9467" max="9467" width="59.42578125" style="175" bestFit="1" customWidth="1"/>
    <col min="9468" max="9481" width="5.7109375" style="175" customWidth="1"/>
    <col min="9482" max="9482" width="11.5703125" style="175" customWidth="1"/>
    <col min="9483" max="9722" width="9.140625" style="175"/>
    <col min="9723" max="9723" width="59.42578125" style="175" bestFit="1" customWidth="1"/>
    <col min="9724" max="9737" width="5.7109375" style="175" customWidth="1"/>
    <col min="9738" max="9738" width="11.5703125" style="175" customWidth="1"/>
    <col min="9739" max="9978" width="9.140625" style="175"/>
    <col min="9979" max="9979" width="59.42578125" style="175" bestFit="1" customWidth="1"/>
    <col min="9980" max="9993" width="5.7109375" style="175" customWidth="1"/>
    <col min="9994" max="9994" width="11.5703125" style="175" customWidth="1"/>
    <col min="9995" max="10234" width="9.140625" style="175"/>
    <col min="10235" max="10235" width="59.42578125" style="175" bestFit="1" customWidth="1"/>
    <col min="10236" max="10249" width="5.7109375" style="175" customWidth="1"/>
    <col min="10250" max="10250" width="11.5703125" style="175" customWidth="1"/>
    <col min="10251" max="10490" width="9.140625" style="175"/>
    <col min="10491" max="10491" width="59.42578125" style="175" bestFit="1" customWidth="1"/>
    <col min="10492" max="10505" width="5.7109375" style="175" customWidth="1"/>
    <col min="10506" max="10506" width="11.5703125" style="175" customWidth="1"/>
    <col min="10507" max="10746" width="9.140625" style="175"/>
    <col min="10747" max="10747" width="59.42578125" style="175" bestFit="1" customWidth="1"/>
    <col min="10748" max="10761" width="5.7109375" style="175" customWidth="1"/>
    <col min="10762" max="10762" width="11.5703125" style="175" customWidth="1"/>
    <col min="10763" max="11002" width="9.140625" style="175"/>
    <col min="11003" max="11003" width="59.42578125" style="175" bestFit="1" customWidth="1"/>
    <col min="11004" max="11017" width="5.7109375" style="175" customWidth="1"/>
    <col min="11018" max="11018" width="11.5703125" style="175" customWidth="1"/>
    <col min="11019" max="11258" width="9.140625" style="175"/>
    <col min="11259" max="11259" width="59.42578125" style="175" bestFit="1" customWidth="1"/>
    <col min="11260" max="11273" width="5.7109375" style="175" customWidth="1"/>
    <col min="11274" max="11274" width="11.5703125" style="175" customWidth="1"/>
    <col min="11275" max="11514" width="9.140625" style="175"/>
    <col min="11515" max="11515" width="59.42578125" style="175" bestFit="1" customWidth="1"/>
    <col min="11516" max="11529" width="5.7109375" style="175" customWidth="1"/>
    <col min="11530" max="11530" width="11.5703125" style="175" customWidth="1"/>
    <col min="11531" max="11770" width="9.140625" style="175"/>
    <col min="11771" max="11771" width="59.42578125" style="175" bestFit="1" customWidth="1"/>
    <col min="11772" max="11785" width="5.7109375" style="175" customWidth="1"/>
    <col min="11786" max="11786" width="11.5703125" style="175" customWidth="1"/>
    <col min="11787" max="12026" width="9.140625" style="175"/>
    <col min="12027" max="12027" width="59.42578125" style="175" bestFit="1" customWidth="1"/>
    <col min="12028" max="12041" width="5.7109375" style="175" customWidth="1"/>
    <col min="12042" max="12042" width="11.5703125" style="175" customWidth="1"/>
    <col min="12043" max="12282" width="9.140625" style="175"/>
    <col min="12283" max="12283" width="59.42578125" style="175" bestFit="1" customWidth="1"/>
    <col min="12284" max="12297" width="5.7109375" style="175" customWidth="1"/>
    <col min="12298" max="12298" width="11.5703125" style="175" customWidth="1"/>
    <col min="12299" max="12538" width="9.140625" style="175"/>
    <col min="12539" max="12539" width="59.42578125" style="175" bestFit="1" customWidth="1"/>
    <col min="12540" max="12553" width="5.7109375" style="175" customWidth="1"/>
    <col min="12554" max="12554" width="11.5703125" style="175" customWidth="1"/>
    <col min="12555" max="12794" width="9.140625" style="175"/>
    <col min="12795" max="12795" width="59.42578125" style="175" bestFit="1" customWidth="1"/>
    <col min="12796" max="12809" width="5.7109375" style="175" customWidth="1"/>
    <col min="12810" max="12810" width="11.5703125" style="175" customWidth="1"/>
    <col min="12811" max="13050" width="9.140625" style="175"/>
    <col min="13051" max="13051" width="59.42578125" style="175" bestFit="1" customWidth="1"/>
    <col min="13052" max="13065" width="5.7109375" style="175" customWidth="1"/>
    <col min="13066" max="13066" width="11.5703125" style="175" customWidth="1"/>
    <col min="13067" max="13306" width="9.140625" style="175"/>
    <col min="13307" max="13307" width="59.42578125" style="175" bestFit="1" customWidth="1"/>
    <col min="13308" max="13321" width="5.7109375" style="175" customWidth="1"/>
    <col min="13322" max="13322" width="11.5703125" style="175" customWidth="1"/>
    <col min="13323" max="13562" width="9.140625" style="175"/>
    <col min="13563" max="13563" width="59.42578125" style="175" bestFit="1" customWidth="1"/>
    <col min="13564" max="13577" width="5.7109375" style="175" customWidth="1"/>
    <col min="13578" max="13578" width="11.5703125" style="175" customWidth="1"/>
    <col min="13579" max="13818" width="9.140625" style="175"/>
    <col min="13819" max="13819" width="59.42578125" style="175" bestFit="1" customWidth="1"/>
    <col min="13820" max="13833" width="5.7109375" style="175" customWidth="1"/>
    <col min="13834" max="13834" width="11.5703125" style="175" customWidth="1"/>
    <col min="13835" max="14074" width="9.140625" style="175"/>
    <col min="14075" max="14075" width="59.42578125" style="175" bestFit="1" customWidth="1"/>
    <col min="14076" max="14089" width="5.7109375" style="175" customWidth="1"/>
    <col min="14090" max="14090" width="11.5703125" style="175" customWidth="1"/>
    <col min="14091" max="14330" width="9.140625" style="175"/>
    <col min="14331" max="14331" width="59.42578125" style="175" bestFit="1" customWidth="1"/>
    <col min="14332" max="14345" width="5.7109375" style="175" customWidth="1"/>
    <col min="14346" max="14346" width="11.5703125" style="175" customWidth="1"/>
    <col min="14347" max="14586" width="9.140625" style="175"/>
    <col min="14587" max="14587" width="59.42578125" style="175" bestFit="1" customWidth="1"/>
    <col min="14588" max="14601" width="5.7109375" style="175" customWidth="1"/>
    <col min="14602" max="14602" width="11.5703125" style="175" customWidth="1"/>
    <col min="14603" max="14842" width="9.140625" style="175"/>
    <col min="14843" max="14843" width="59.42578125" style="175" bestFit="1" customWidth="1"/>
    <col min="14844" max="14857" width="5.7109375" style="175" customWidth="1"/>
    <col min="14858" max="14858" width="11.5703125" style="175" customWidth="1"/>
    <col min="14859" max="15098" width="9.140625" style="175"/>
    <col min="15099" max="15099" width="59.42578125" style="175" bestFit="1" customWidth="1"/>
    <col min="15100" max="15113" width="5.7109375" style="175" customWidth="1"/>
    <col min="15114" max="15114" width="11.5703125" style="175" customWidth="1"/>
    <col min="15115" max="15354" width="9.140625" style="175"/>
    <col min="15355" max="15355" width="59.42578125" style="175" bestFit="1" customWidth="1"/>
    <col min="15356" max="15369" width="5.7109375" style="175" customWidth="1"/>
    <col min="15370" max="15370" width="11.5703125" style="175" customWidth="1"/>
    <col min="15371" max="15610" width="9.140625" style="175"/>
    <col min="15611" max="15611" width="59.42578125" style="175" bestFit="1" customWidth="1"/>
    <col min="15612" max="15625" width="5.7109375" style="175" customWidth="1"/>
    <col min="15626" max="15626" width="11.5703125" style="175" customWidth="1"/>
    <col min="15627" max="15866" width="9.140625" style="175"/>
    <col min="15867" max="15867" width="59.42578125" style="175" bestFit="1" customWidth="1"/>
    <col min="15868" max="15881" width="5.7109375" style="175" customWidth="1"/>
    <col min="15882" max="15882" width="11.5703125" style="175" customWidth="1"/>
    <col min="15883" max="16122" width="9.140625" style="175"/>
    <col min="16123" max="16123" width="59.42578125" style="175" bestFit="1" customWidth="1"/>
    <col min="16124" max="16137" width="5.7109375" style="175" customWidth="1"/>
    <col min="16138" max="16138" width="11.5703125" style="175" customWidth="1"/>
    <col min="16139" max="16384" width="9.140625" style="175"/>
  </cols>
  <sheetData>
    <row r="1" spans="1:10" ht="24.95" customHeight="1" x14ac:dyDescent="0.2">
      <c r="A1" s="534"/>
      <c r="B1" s="535"/>
      <c r="C1" s="566" t="s">
        <v>293</v>
      </c>
      <c r="D1" s="567"/>
      <c r="E1" s="567"/>
      <c r="F1" s="567"/>
      <c r="G1" s="567"/>
      <c r="H1" s="567"/>
      <c r="I1" s="567"/>
      <c r="J1" s="568"/>
    </row>
    <row r="2" spans="1:10" ht="24.95" customHeight="1" x14ac:dyDescent="0.2">
      <c r="A2" s="536"/>
      <c r="B2" s="537"/>
      <c r="C2" s="569" t="s">
        <v>294</v>
      </c>
      <c r="D2" s="570"/>
      <c r="E2" s="570"/>
      <c r="F2" s="570"/>
      <c r="G2" s="570"/>
      <c r="H2" s="570"/>
      <c r="I2" s="570"/>
      <c r="J2" s="571"/>
    </row>
    <row r="3" spans="1:10" ht="24.95" customHeight="1" x14ac:dyDescent="0.2">
      <c r="A3" s="536"/>
      <c r="B3" s="537"/>
      <c r="C3" s="569" t="s">
        <v>295</v>
      </c>
      <c r="D3" s="570"/>
      <c r="E3" s="570"/>
      <c r="F3" s="570"/>
      <c r="G3" s="570"/>
      <c r="H3" s="570"/>
      <c r="I3" s="570"/>
      <c r="J3" s="571"/>
    </row>
    <row r="4" spans="1:10" ht="24.95" customHeight="1" x14ac:dyDescent="0.2">
      <c r="A4" s="536"/>
      <c r="B4" s="537"/>
      <c r="C4" s="572" t="s">
        <v>78</v>
      </c>
      <c r="D4" s="573"/>
      <c r="E4" s="573"/>
      <c r="F4" s="573"/>
      <c r="G4" s="573"/>
      <c r="H4" s="573"/>
      <c r="I4" s="573"/>
      <c r="J4" s="574"/>
    </row>
    <row r="5" spans="1:10" ht="16.5" x14ac:dyDescent="0.25">
      <c r="A5" s="538" t="s">
        <v>483</v>
      </c>
      <c r="B5" s="539"/>
      <c r="C5" s="539"/>
      <c r="D5" s="539"/>
      <c r="E5" s="540"/>
      <c r="F5" s="201"/>
      <c r="G5" s="201"/>
      <c r="H5" s="202"/>
      <c r="I5" s="202"/>
      <c r="J5" s="323" t="s">
        <v>685</v>
      </c>
    </row>
    <row r="6" spans="1:10" ht="18" x14ac:dyDescent="0.2">
      <c r="A6" s="541" t="s">
        <v>497</v>
      </c>
      <c r="B6" s="542"/>
      <c r="C6" s="542"/>
      <c r="D6" s="542"/>
      <c r="E6" s="542"/>
      <c r="F6" s="201"/>
      <c r="G6" s="542"/>
      <c r="H6" s="542"/>
      <c r="I6" s="542"/>
      <c r="J6" s="324">
        <v>42313</v>
      </c>
    </row>
    <row r="7" spans="1:10" s="176" customFormat="1" ht="18.75" customHeight="1" x14ac:dyDescent="0.2">
      <c r="A7" s="543" t="s">
        <v>498</v>
      </c>
      <c r="B7" s="544"/>
      <c r="C7" s="544"/>
      <c r="D7" s="544"/>
      <c r="E7" s="544"/>
      <c r="F7" s="545"/>
      <c r="G7" s="546"/>
      <c r="H7" s="544"/>
      <c r="I7" s="544"/>
      <c r="J7" s="547"/>
    </row>
    <row r="8" spans="1:10" s="176" customFormat="1" ht="75.75" customHeight="1" thickBot="1" x14ac:dyDescent="0.25">
      <c r="A8" s="575" t="s">
        <v>507</v>
      </c>
      <c r="B8" s="576"/>
      <c r="C8" s="576"/>
      <c r="D8" s="576"/>
      <c r="E8" s="576"/>
      <c r="F8" s="576"/>
      <c r="G8" s="576"/>
      <c r="H8" s="576"/>
      <c r="I8" s="576"/>
      <c r="J8" s="577"/>
    </row>
    <row r="9" spans="1:10" ht="16.5" thickBot="1" x14ac:dyDescent="0.25">
      <c r="A9" s="554" t="s">
        <v>708</v>
      </c>
      <c r="B9" s="555"/>
      <c r="C9" s="555"/>
      <c r="D9" s="555"/>
      <c r="E9" s="555"/>
      <c r="F9" s="555"/>
      <c r="G9" s="555" t="s">
        <v>484</v>
      </c>
      <c r="H9" s="555"/>
      <c r="I9" s="555"/>
      <c r="J9" s="556"/>
    </row>
    <row r="10" spans="1:10" x14ac:dyDescent="0.2">
      <c r="A10" s="557" t="s">
        <v>83</v>
      </c>
      <c r="B10" s="559" t="s">
        <v>485</v>
      </c>
      <c r="C10" s="561" t="s">
        <v>486</v>
      </c>
      <c r="D10" s="199" t="s">
        <v>487</v>
      </c>
      <c r="E10" s="199" t="s">
        <v>488</v>
      </c>
      <c r="F10" s="199" t="s">
        <v>489</v>
      </c>
      <c r="G10" s="200" t="s">
        <v>490</v>
      </c>
      <c r="H10" s="199" t="s">
        <v>491</v>
      </c>
      <c r="I10" s="199" t="s">
        <v>492</v>
      </c>
      <c r="J10" s="548" t="s">
        <v>493</v>
      </c>
    </row>
    <row r="11" spans="1:10" x14ac:dyDescent="0.2">
      <c r="A11" s="558"/>
      <c r="B11" s="560"/>
      <c r="C11" s="559"/>
      <c r="D11" s="177"/>
      <c r="E11" s="177"/>
      <c r="F11" s="177"/>
      <c r="G11" s="178"/>
      <c r="H11" s="177"/>
      <c r="I11" s="177"/>
      <c r="J11" s="549"/>
    </row>
    <row r="12" spans="1:10" x14ac:dyDescent="0.25">
      <c r="A12" s="550">
        <v>1</v>
      </c>
      <c r="B12" s="552" t="s">
        <v>93</v>
      </c>
      <c r="C12" s="179">
        <f>ORÇAMENTO!K17</f>
        <v>21767</v>
      </c>
      <c r="D12" s="180">
        <f>C12*D13</f>
        <v>21767</v>
      </c>
      <c r="E12" s="182"/>
      <c r="F12" s="182"/>
      <c r="G12" s="183"/>
      <c r="H12" s="184"/>
      <c r="I12" s="184"/>
      <c r="J12" s="185">
        <f>SUM(D12:I12)</f>
        <v>21767</v>
      </c>
    </row>
    <row r="13" spans="1:10" x14ac:dyDescent="0.25">
      <c r="A13" s="551"/>
      <c r="B13" s="553"/>
      <c r="C13" s="186">
        <f>C12/$J$40</f>
        <v>0.11219938263793544</v>
      </c>
      <c r="D13" s="187">
        <v>1</v>
      </c>
      <c r="E13" s="182"/>
      <c r="F13" s="182"/>
      <c r="G13" s="183"/>
      <c r="H13" s="184"/>
      <c r="I13" s="184"/>
      <c r="J13" s="188">
        <f>J12/C12</f>
        <v>1</v>
      </c>
    </row>
    <row r="14" spans="1:10" x14ac:dyDescent="0.25">
      <c r="A14" s="550">
        <v>2</v>
      </c>
      <c r="B14" s="552" t="s">
        <v>108</v>
      </c>
      <c r="C14" s="179">
        <f>ORÇAMENTO!K22</f>
        <v>1963.6299999999999</v>
      </c>
      <c r="D14" s="180">
        <f>C14*D15</f>
        <v>981.81499999999994</v>
      </c>
      <c r="E14" s="180">
        <f>C14*E15</f>
        <v>981.81499999999994</v>
      </c>
      <c r="F14" s="182"/>
      <c r="G14" s="183"/>
      <c r="H14" s="184"/>
      <c r="I14" s="184"/>
      <c r="J14" s="185">
        <f>SUM(D14:I14)</f>
        <v>1963.6299999999999</v>
      </c>
    </row>
    <row r="15" spans="1:10" x14ac:dyDescent="0.25">
      <c r="A15" s="551"/>
      <c r="B15" s="553"/>
      <c r="C15" s="186">
        <f>C14/J40</f>
        <v>1.0121655429288792E-2</v>
      </c>
      <c r="D15" s="189">
        <v>0.5</v>
      </c>
      <c r="E15" s="189">
        <v>0.5</v>
      </c>
      <c r="F15" s="182"/>
      <c r="G15" s="183"/>
      <c r="H15" s="184"/>
      <c r="I15" s="184"/>
      <c r="J15" s="188">
        <f>J14/C14</f>
        <v>1</v>
      </c>
    </row>
    <row r="16" spans="1:10" x14ac:dyDescent="0.25">
      <c r="A16" s="550">
        <v>3</v>
      </c>
      <c r="B16" s="552" t="s">
        <v>494</v>
      </c>
      <c r="C16" s="179">
        <f>ORÇAMENTO!K30</f>
        <v>14943.560000000001</v>
      </c>
      <c r="D16" s="181"/>
      <c r="E16" s="180">
        <f>C16*E17</f>
        <v>7471.7800000000007</v>
      </c>
      <c r="F16" s="180">
        <f>C16*F17</f>
        <v>7471.7800000000007</v>
      </c>
      <c r="G16" s="183"/>
      <c r="H16" s="184"/>
      <c r="I16" s="184"/>
      <c r="J16" s="185">
        <f>SUM(D16:I16)</f>
        <v>14943.560000000001</v>
      </c>
    </row>
    <row r="17" spans="1:10" x14ac:dyDescent="0.25">
      <c r="A17" s="551"/>
      <c r="B17" s="553"/>
      <c r="C17" s="186">
        <f>C16/$J$40</f>
        <v>7.7027528203838222E-2</v>
      </c>
      <c r="D17" s="181"/>
      <c r="E17" s="187">
        <v>0.5</v>
      </c>
      <c r="F17" s="187">
        <v>0.5</v>
      </c>
      <c r="G17" s="183"/>
      <c r="H17" s="184"/>
      <c r="I17" s="184"/>
      <c r="J17" s="188">
        <f>J16/C16</f>
        <v>1</v>
      </c>
    </row>
    <row r="18" spans="1:10" x14ac:dyDescent="0.25">
      <c r="A18" s="550">
        <v>4</v>
      </c>
      <c r="B18" s="552" t="s">
        <v>495</v>
      </c>
      <c r="C18" s="179">
        <f>ORÇAMENTO!K35</f>
        <v>64319.08</v>
      </c>
      <c r="D18" s="181"/>
      <c r="E18" s="190">
        <f t="shared" ref="E18:G18" si="0">$C$18*E19</f>
        <v>21225.296400000003</v>
      </c>
      <c r="F18" s="190">
        <f t="shared" si="0"/>
        <v>21225.296400000003</v>
      </c>
      <c r="G18" s="190">
        <f t="shared" si="0"/>
        <v>21868.487200000003</v>
      </c>
      <c r="H18" s="184"/>
      <c r="I18" s="184"/>
      <c r="J18" s="185">
        <f>SUM(D18:I18)</f>
        <v>64319.080000000009</v>
      </c>
    </row>
    <row r="19" spans="1:10" x14ac:dyDescent="0.25">
      <c r="A19" s="551"/>
      <c r="B19" s="553"/>
      <c r="C19" s="186">
        <f>C18/J40</f>
        <v>0.33153677896999956</v>
      </c>
      <c r="D19" s="181"/>
      <c r="E19" s="189">
        <v>0.33</v>
      </c>
      <c r="F19" s="189">
        <v>0.33</v>
      </c>
      <c r="G19" s="189">
        <v>0.34</v>
      </c>
      <c r="H19" s="184"/>
      <c r="I19" s="184"/>
      <c r="J19" s="188">
        <f>J18/C18</f>
        <v>1.0000000000000002</v>
      </c>
    </row>
    <row r="20" spans="1:10" x14ac:dyDescent="0.25">
      <c r="A20" s="550">
        <v>5</v>
      </c>
      <c r="B20" s="552" t="s">
        <v>130</v>
      </c>
      <c r="C20" s="179">
        <f>ORÇAMENTO!K41</f>
        <v>8032.7499999999991</v>
      </c>
      <c r="D20" s="181"/>
      <c r="E20" s="182"/>
      <c r="F20" s="191">
        <f>$C$20*F21</f>
        <v>2650.8074999999999</v>
      </c>
      <c r="G20" s="191">
        <f>$C$20*G21</f>
        <v>2650.8074999999999</v>
      </c>
      <c r="H20" s="191">
        <f>$C$20*H21</f>
        <v>2731.1349999999998</v>
      </c>
      <c r="I20" s="184"/>
      <c r="J20" s="185">
        <f>SUM(D20:I20)</f>
        <v>8032.75</v>
      </c>
    </row>
    <row r="21" spans="1:10" x14ac:dyDescent="0.25">
      <c r="A21" s="551"/>
      <c r="B21" s="553"/>
      <c r="C21" s="186">
        <f>C20/J40</f>
        <v>4.1405319561027047E-2</v>
      </c>
      <c r="D21" s="181"/>
      <c r="E21" s="182"/>
      <c r="F21" s="192">
        <v>0.33</v>
      </c>
      <c r="G21" s="192">
        <v>0.33</v>
      </c>
      <c r="H21" s="192">
        <v>0.34</v>
      </c>
      <c r="I21" s="184"/>
      <c r="J21" s="188">
        <f>J20/C20</f>
        <v>1.0000000000000002</v>
      </c>
    </row>
    <row r="22" spans="1:10" x14ac:dyDescent="0.25">
      <c r="A22" s="550">
        <v>6</v>
      </c>
      <c r="B22" s="552" t="s">
        <v>134</v>
      </c>
      <c r="C22" s="179">
        <f>ORÇAMENTO!K44</f>
        <v>845.6</v>
      </c>
      <c r="D22" s="181"/>
      <c r="E22" s="182"/>
      <c r="F22" s="182"/>
      <c r="G22" s="183"/>
      <c r="H22" s="190">
        <f t="shared" ref="H22:I22" si="1">$C$22*H23</f>
        <v>422.8</v>
      </c>
      <c r="I22" s="190">
        <f t="shared" si="1"/>
        <v>422.8</v>
      </c>
      <c r="J22" s="185">
        <f>SUM(D22:I22)</f>
        <v>845.6</v>
      </c>
    </row>
    <row r="23" spans="1:10" x14ac:dyDescent="0.25">
      <c r="A23" s="551"/>
      <c r="B23" s="553"/>
      <c r="C23" s="186">
        <f>C22/$J$40</f>
        <v>4.3586988541663161E-3</v>
      </c>
      <c r="D23" s="181"/>
      <c r="E23" s="182"/>
      <c r="F23" s="182"/>
      <c r="G23" s="183"/>
      <c r="H23" s="189">
        <v>0.5</v>
      </c>
      <c r="I23" s="189">
        <v>0.5</v>
      </c>
      <c r="J23" s="188">
        <f>J22/C22</f>
        <v>1</v>
      </c>
    </row>
    <row r="24" spans="1:10" x14ac:dyDescent="0.25">
      <c r="A24" s="550">
        <v>7</v>
      </c>
      <c r="B24" s="552" t="str">
        <f>ORÇAMENTO!B45</f>
        <v>ESQUADRIAS METÁLICA</v>
      </c>
      <c r="C24" s="179">
        <f>ORÇAMENTO!K48</f>
        <v>6549.2199999999993</v>
      </c>
      <c r="D24" s="181"/>
      <c r="E24" s="182"/>
      <c r="F24" s="182"/>
      <c r="G24" s="183"/>
      <c r="H24" s="184"/>
      <c r="I24" s="180">
        <f>C24*I25</f>
        <v>6549.2199999999993</v>
      </c>
      <c r="J24" s="185">
        <f>SUM(D24:I24)</f>
        <v>6549.2199999999993</v>
      </c>
    </row>
    <row r="25" spans="1:10" x14ac:dyDescent="0.25">
      <c r="A25" s="551"/>
      <c r="B25" s="553"/>
      <c r="C25" s="186">
        <f>C24/J40</f>
        <v>3.3758370044563765E-2</v>
      </c>
      <c r="D25" s="181"/>
      <c r="E25" s="182"/>
      <c r="F25" s="182"/>
      <c r="G25" s="183"/>
      <c r="H25" s="184"/>
      <c r="I25" s="187">
        <v>1</v>
      </c>
      <c r="J25" s="188">
        <f>J24/C24</f>
        <v>1</v>
      </c>
    </row>
    <row r="26" spans="1:10" x14ac:dyDescent="0.25">
      <c r="A26" s="550">
        <v>8</v>
      </c>
      <c r="B26" s="552" t="str">
        <f>ORÇAMENTO!B49</f>
        <v>RODAPÉS, SOLEIRAS E PEITORIS</v>
      </c>
      <c r="C26" s="179">
        <f>ORÇAMENTO!K53</f>
        <v>648.29999999999995</v>
      </c>
      <c r="D26" s="181"/>
      <c r="E26" s="182"/>
      <c r="F26" s="182"/>
      <c r="G26" s="191">
        <f>$C$26*G27</f>
        <v>324.14999999999998</v>
      </c>
      <c r="H26" s="191">
        <f>$C$26*H27</f>
        <v>324.14999999999998</v>
      </c>
      <c r="I26" s="182"/>
      <c r="J26" s="185">
        <f>SUM(D26:I26)</f>
        <v>648.29999999999995</v>
      </c>
    </row>
    <row r="27" spans="1:10" x14ac:dyDescent="0.25">
      <c r="A27" s="551"/>
      <c r="B27" s="553"/>
      <c r="C27" s="186">
        <f>C26/$J$40</f>
        <v>3.3417034852838488E-3</v>
      </c>
      <c r="D27" s="181"/>
      <c r="E27" s="182"/>
      <c r="F27" s="182"/>
      <c r="G27" s="192">
        <v>0.5</v>
      </c>
      <c r="H27" s="192">
        <v>0.5</v>
      </c>
      <c r="I27" s="182"/>
      <c r="J27" s="188">
        <f>J26/C26</f>
        <v>1</v>
      </c>
    </row>
    <row r="28" spans="1:10" x14ac:dyDescent="0.25">
      <c r="A28" s="550">
        <v>9</v>
      </c>
      <c r="B28" s="552" t="str">
        <f>ORÇAMENTO!B54</f>
        <v>PISOS INTERNOS E EXTERNO</v>
      </c>
      <c r="C28" s="179">
        <f>ORÇAMENTO!K59</f>
        <v>22910.359999999997</v>
      </c>
      <c r="D28" s="181"/>
      <c r="E28" s="182"/>
      <c r="F28" s="190">
        <f>$C$28*F29</f>
        <v>5727.5899999999992</v>
      </c>
      <c r="G28" s="190">
        <f>$C$28*G29</f>
        <v>8591.3849999999984</v>
      </c>
      <c r="H28" s="190">
        <f t="shared" ref="H28" si="2">$C$28*H29</f>
        <v>8591.3849999999984</v>
      </c>
      <c r="I28" s="182"/>
      <c r="J28" s="185">
        <f>SUM(D28:I28)</f>
        <v>22910.359999999997</v>
      </c>
    </row>
    <row r="29" spans="1:10" x14ac:dyDescent="0.25">
      <c r="A29" s="551"/>
      <c r="B29" s="553"/>
      <c r="C29" s="186">
        <f>C28/J40</f>
        <v>0.11809290430527175</v>
      </c>
      <c r="D29" s="181"/>
      <c r="E29" s="182"/>
      <c r="F29" s="189">
        <v>0.25</v>
      </c>
      <c r="G29" s="189">
        <f>0.75/2</f>
        <v>0.375</v>
      </c>
      <c r="H29" s="189">
        <f>0.75/2</f>
        <v>0.375</v>
      </c>
      <c r="I29" s="182"/>
      <c r="J29" s="188">
        <f>J28/C28</f>
        <v>1</v>
      </c>
    </row>
    <row r="30" spans="1:10" x14ac:dyDescent="0.25">
      <c r="A30" s="550">
        <v>10</v>
      </c>
      <c r="B30" s="552" t="str">
        <f>ORÇAMENTO!B60</f>
        <v>INSTALAÇÕES HIDRO-SANITÁRIAS</v>
      </c>
      <c r="C30" s="179">
        <f>ORÇAMENTO!K112</f>
        <v>13156.080000000004</v>
      </c>
      <c r="D30" s="181"/>
      <c r="E30" s="190">
        <f t="shared" ref="E30:G30" si="3">$C$30*E31</f>
        <v>4341.5064000000011</v>
      </c>
      <c r="F30" s="190">
        <f t="shared" si="3"/>
        <v>4341.5064000000011</v>
      </c>
      <c r="G30" s="190">
        <f t="shared" si="3"/>
        <v>4473.0672000000013</v>
      </c>
      <c r="H30" s="184"/>
      <c r="I30" s="184"/>
      <c r="J30" s="185">
        <f>SUM(D30:I30)</f>
        <v>13156.080000000004</v>
      </c>
    </row>
    <row r="31" spans="1:10" x14ac:dyDescent="0.25">
      <c r="A31" s="551"/>
      <c r="B31" s="553"/>
      <c r="C31" s="186">
        <f>C30/$J$40</f>
        <v>6.781384912644324E-2</v>
      </c>
      <c r="D31" s="181"/>
      <c r="E31" s="189">
        <v>0.33</v>
      </c>
      <c r="F31" s="189">
        <v>0.33</v>
      </c>
      <c r="G31" s="189">
        <v>0.34</v>
      </c>
      <c r="H31" s="184"/>
      <c r="I31" s="184"/>
      <c r="J31" s="188">
        <f>J30/C30</f>
        <v>1</v>
      </c>
    </row>
    <row r="32" spans="1:10" x14ac:dyDescent="0.25">
      <c r="A32" s="550">
        <v>11</v>
      </c>
      <c r="B32" s="552" t="str">
        <f>ORÇAMENTO!B113</f>
        <v>INSTALAÇÕES ELÉTRICAS</v>
      </c>
      <c r="C32" s="179">
        <f>ORÇAMENTO!K147</f>
        <v>25064.23</v>
      </c>
      <c r="D32" s="181"/>
      <c r="E32" s="191">
        <f>$C$32*E33</f>
        <v>6266.0574999999999</v>
      </c>
      <c r="F32" s="191">
        <f>$C$32*F33</f>
        <v>6266.0574999999999</v>
      </c>
      <c r="G32" s="191">
        <f>$C$32*G33</f>
        <v>6266.0574999999999</v>
      </c>
      <c r="H32" s="191">
        <f>$C$32*H33</f>
        <v>6266.0574999999999</v>
      </c>
      <c r="I32" s="184"/>
      <c r="J32" s="185">
        <f>SUM(D32:I32)</f>
        <v>25064.23</v>
      </c>
    </row>
    <row r="33" spans="1:10" x14ac:dyDescent="0.25">
      <c r="A33" s="551"/>
      <c r="B33" s="553"/>
      <c r="C33" s="186">
        <f>C32/J40</f>
        <v>0.12919516388547897</v>
      </c>
      <c r="D33" s="181"/>
      <c r="E33" s="192">
        <v>0.25</v>
      </c>
      <c r="F33" s="192">
        <v>0.25</v>
      </c>
      <c r="G33" s="192">
        <v>0.25</v>
      </c>
      <c r="H33" s="192">
        <v>0.25</v>
      </c>
      <c r="I33" s="184"/>
      <c r="J33" s="188">
        <f>J32/C32</f>
        <v>1</v>
      </c>
    </row>
    <row r="34" spans="1:10" x14ac:dyDescent="0.25">
      <c r="A34" s="550">
        <v>12</v>
      </c>
      <c r="B34" s="552" t="str">
        <f>ORÇAMENTO!B148</f>
        <v>APARELHOS HIDRO-SANITÁRIOS</v>
      </c>
      <c r="C34" s="179">
        <f>ORÇAMENTO!K158</f>
        <v>3866.59</v>
      </c>
      <c r="D34" s="181"/>
      <c r="E34" s="182"/>
      <c r="F34" s="182"/>
      <c r="G34" s="184"/>
      <c r="H34" s="191">
        <f>$C$34*H35</f>
        <v>1933.2950000000001</v>
      </c>
      <c r="I34" s="191">
        <f>$C$34*I35</f>
        <v>1933.2950000000001</v>
      </c>
      <c r="J34" s="185">
        <f>SUM(D34:I34)</f>
        <v>3866.59</v>
      </c>
    </row>
    <row r="35" spans="1:10" x14ac:dyDescent="0.25">
      <c r="A35" s="551"/>
      <c r="B35" s="553"/>
      <c r="C35" s="186">
        <f>C34/$J$40</f>
        <v>1.9930583494005366E-2</v>
      </c>
      <c r="D35" s="181"/>
      <c r="E35" s="182"/>
      <c r="F35" s="182"/>
      <c r="G35" s="184"/>
      <c r="H35" s="192">
        <v>0.5</v>
      </c>
      <c r="I35" s="192">
        <v>0.5</v>
      </c>
      <c r="J35" s="188">
        <f>J34/C34</f>
        <v>1</v>
      </c>
    </row>
    <row r="36" spans="1:10" x14ac:dyDescent="0.25">
      <c r="A36" s="550">
        <v>13</v>
      </c>
      <c r="B36" s="552" t="str">
        <f>ORÇAMENTO!B159</f>
        <v>PINTURA</v>
      </c>
      <c r="C36" s="179">
        <f>ORÇAMENTO!K163</f>
        <v>5194.5400000000009</v>
      </c>
      <c r="D36" s="181"/>
      <c r="E36" s="182"/>
      <c r="F36" s="182"/>
      <c r="G36" s="183"/>
      <c r="H36" s="190">
        <f>$C$36*H37</f>
        <v>2597.2700000000004</v>
      </c>
      <c r="I36" s="190">
        <f>$C$36*I37</f>
        <v>2597.2700000000004</v>
      </c>
      <c r="J36" s="185">
        <f>SUM(D36:I36)</f>
        <v>5194.5400000000009</v>
      </c>
    </row>
    <row r="37" spans="1:10" x14ac:dyDescent="0.25">
      <c r="A37" s="551"/>
      <c r="B37" s="553"/>
      <c r="C37" s="186">
        <f>C36/$J$40</f>
        <v>2.6775586028761945E-2</v>
      </c>
      <c r="D37" s="181"/>
      <c r="E37" s="182"/>
      <c r="F37" s="182"/>
      <c r="G37" s="183"/>
      <c r="H37" s="187">
        <v>0.5</v>
      </c>
      <c r="I37" s="187">
        <v>0.5</v>
      </c>
      <c r="J37" s="188">
        <f>J36/C36</f>
        <v>1</v>
      </c>
    </row>
    <row r="38" spans="1:10" x14ac:dyDescent="0.25">
      <c r="A38" s="550">
        <v>14</v>
      </c>
      <c r="B38" s="552" t="s">
        <v>496</v>
      </c>
      <c r="C38" s="179">
        <f>ORÇAMENTO!K168</f>
        <v>4741.91</v>
      </c>
      <c r="D38" s="181"/>
      <c r="E38" s="182"/>
      <c r="F38" s="182"/>
      <c r="G38" s="183"/>
      <c r="H38" s="184"/>
      <c r="I38" s="190">
        <f t="shared" ref="I38" si="4">$C$38*I39</f>
        <v>4741.91</v>
      </c>
      <c r="J38" s="185">
        <f>SUM(D38:I38)</f>
        <v>4741.91</v>
      </c>
    </row>
    <row r="39" spans="1:10" x14ac:dyDescent="0.25">
      <c r="A39" s="551"/>
      <c r="B39" s="553"/>
      <c r="C39" s="186">
        <f>C38/$J$40</f>
        <v>2.4442475973935427E-2</v>
      </c>
      <c r="D39" s="181"/>
      <c r="E39" s="182"/>
      <c r="F39" s="182"/>
      <c r="G39" s="183"/>
      <c r="H39" s="184"/>
      <c r="I39" s="189">
        <v>1</v>
      </c>
      <c r="J39" s="188">
        <f>J38/C38</f>
        <v>1</v>
      </c>
    </row>
    <row r="40" spans="1:10" ht="15" customHeight="1" x14ac:dyDescent="0.25">
      <c r="A40" s="562" t="s">
        <v>300</v>
      </c>
      <c r="B40" s="563"/>
      <c r="C40" s="193">
        <f>C12+C14+C16+C18+C20+C22+C24+C26+C28+C30+C32+C34+C36+C38</f>
        <v>194002.85000000003</v>
      </c>
      <c r="D40" s="193">
        <f>D12+D14+D16+D18+D20+D22+D24+D26+D28+D30+D32+D34+D36+D38</f>
        <v>22748.814999999999</v>
      </c>
      <c r="E40" s="193">
        <f t="shared" ref="E40:I40" si="5">E12+E14+E16+E18+E20+E22+E24+E26+E28+E30+E32+E34+E36+E38</f>
        <v>40286.455300000009</v>
      </c>
      <c r="F40" s="193">
        <f t="shared" si="5"/>
        <v>47683.037800000006</v>
      </c>
      <c r="G40" s="193">
        <f t="shared" si="5"/>
        <v>44173.95440000001</v>
      </c>
      <c r="H40" s="193">
        <f t="shared" si="5"/>
        <v>22866.092499999995</v>
      </c>
      <c r="I40" s="193">
        <f t="shared" si="5"/>
        <v>16244.494999999999</v>
      </c>
      <c r="J40" s="325">
        <f>J12+J14+J16+J18+J20+J22+J24+J26+J28+J30+J32+J34+J36+J38</f>
        <v>194002.85000000006</v>
      </c>
    </row>
    <row r="41" spans="1:10" ht="16.5" thickBot="1" x14ac:dyDescent="0.3">
      <c r="A41" s="564"/>
      <c r="B41" s="565"/>
      <c r="C41" s="326">
        <f>C40/J40</f>
        <v>0.99999999999999989</v>
      </c>
      <c r="D41" s="194">
        <f>D40/$C$40</f>
        <v>0.11726021035257984</v>
      </c>
      <c r="E41" s="194">
        <f t="shared" ref="E41:I41" si="6">E40/$C$40</f>
        <v>0.20765909005975944</v>
      </c>
      <c r="F41" s="194">
        <f t="shared" si="6"/>
        <v>0.24578524387657191</v>
      </c>
      <c r="G41" s="195">
        <f t="shared" si="6"/>
        <v>0.22769745083641812</v>
      </c>
      <c r="H41" s="194">
        <f t="shared" si="6"/>
        <v>0.11786472466770458</v>
      </c>
      <c r="I41" s="194">
        <f t="shared" si="6"/>
        <v>8.3733280206966007E-2</v>
      </c>
      <c r="J41" s="196">
        <f>J40/C40</f>
        <v>1.0000000000000002</v>
      </c>
    </row>
  </sheetData>
  <mergeCells count="46">
    <mergeCell ref="A40:B41"/>
    <mergeCell ref="C1:J1"/>
    <mergeCell ref="C2:J2"/>
    <mergeCell ref="C3:J3"/>
    <mergeCell ref="C4:J4"/>
    <mergeCell ref="A8:J8"/>
    <mergeCell ref="A36:A37"/>
    <mergeCell ref="B36:B37"/>
    <mergeCell ref="A38:A39"/>
    <mergeCell ref="B38:B39"/>
    <mergeCell ref="A32:A33"/>
    <mergeCell ref="B32:B33"/>
    <mergeCell ref="A34:A35"/>
    <mergeCell ref="B34:B35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J10:J11"/>
    <mergeCell ref="A12:A13"/>
    <mergeCell ref="B12:B13"/>
    <mergeCell ref="A9:F9"/>
    <mergeCell ref="G9:J9"/>
    <mergeCell ref="A10:A11"/>
    <mergeCell ref="B10:B11"/>
    <mergeCell ref="C10:C11"/>
    <mergeCell ref="A1:B4"/>
    <mergeCell ref="A5:E5"/>
    <mergeCell ref="A6:E6"/>
    <mergeCell ref="G6:I6"/>
    <mergeCell ref="A7:F7"/>
    <mergeCell ref="G7:J7"/>
  </mergeCells>
  <printOptions horizontalCentered="1"/>
  <pageMargins left="0.39370078740157483" right="0.31496062992125984" top="0.39370078740157483" bottom="0.78740157480314965" header="0.31496062992125984" footer="0.31496062992125984"/>
  <pageSetup paperSize="9" scale="69" fitToWidth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705</v>
      </c>
      <c r="B2" s="35" t="s">
        <v>211</v>
      </c>
      <c r="C2" s="579" t="s">
        <v>213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36" x14ac:dyDescent="0.25">
      <c r="A11" s="71" t="s">
        <v>213</v>
      </c>
      <c r="B11" s="53" t="s">
        <v>379</v>
      </c>
      <c r="C11" s="53" t="s">
        <v>380</v>
      </c>
      <c r="D11" s="55">
        <v>1</v>
      </c>
      <c r="E11" s="55">
        <v>1</v>
      </c>
      <c r="F11" s="56">
        <v>95.19</v>
      </c>
      <c r="G11" s="55">
        <v>0</v>
      </c>
      <c r="H11" s="56">
        <v>95.19</v>
      </c>
      <c r="I11" s="72">
        <f>D11*H11</f>
        <v>95.19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95.19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95.19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137.88999999999999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137.88999999999999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706</v>
      </c>
      <c r="B2" s="35" t="s">
        <v>225</v>
      </c>
      <c r="C2" s="579" t="s">
        <v>227</v>
      </c>
      <c r="D2" s="579"/>
      <c r="E2" s="579"/>
      <c r="F2" s="579"/>
      <c r="G2" s="579"/>
      <c r="H2" s="579"/>
      <c r="I2" s="579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0" t="s">
        <v>391</v>
      </c>
      <c r="B20" s="580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345</v>
      </c>
      <c r="B2" s="35" t="s">
        <v>228</v>
      </c>
      <c r="C2" s="579" t="s">
        <v>414</v>
      </c>
      <c r="D2" s="579"/>
      <c r="E2" s="579"/>
      <c r="F2" s="579"/>
      <c r="G2" s="579"/>
      <c r="H2" s="579"/>
      <c r="I2" s="579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0" t="s">
        <v>391</v>
      </c>
      <c r="B20" s="580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8" t="s">
        <v>360</v>
      </c>
      <c r="C1" s="578"/>
      <c r="D1" s="578"/>
      <c r="E1" s="578"/>
      <c r="F1" s="578"/>
      <c r="G1" s="578"/>
      <c r="H1" s="578"/>
      <c r="I1" s="578"/>
      <c r="N1"/>
      <c r="P1"/>
    </row>
    <row r="2" spans="1:16" ht="60.75" customHeight="1" x14ac:dyDescent="0.25">
      <c r="A2" s="34" t="s">
        <v>226</v>
      </c>
      <c r="B2" s="35" t="s">
        <v>237</v>
      </c>
      <c r="C2" s="579" t="s">
        <v>239</v>
      </c>
      <c r="D2" s="579"/>
      <c r="E2" s="579"/>
      <c r="F2" s="579"/>
      <c r="G2" s="579"/>
      <c r="H2" s="579"/>
      <c r="I2" s="579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239</v>
      </c>
      <c r="B11" s="53" t="s">
        <v>379</v>
      </c>
      <c r="C11" s="53" t="s">
        <v>413</v>
      </c>
      <c r="D11" s="55">
        <v>1</v>
      </c>
      <c r="E11" s="55">
        <v>1</v>
      </c>
      <c r="F11" s="56">
        <v>10.039999999999999</v>
      </c>
      <c r="G11" s="55">
        <v>0</v>
      </c>
      <c r="H11" s="56">
        <v>10.039999999999999</v>
      </c>
      <c r="I11" s="72">
        <f>D11*H11</f>
        <v>10.039999999999999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/>
      <c r="I12" s="79">
        <f>SUM(I11:I11)</f>
        <v>10.039999999999999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10.039999999999999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0" t="s">
        <v>391</v>
      </c>
      <c r="B21" s="580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15</vt:i4>
      </vt:variant>
    </vt:vector>
  </HeadingPairs>
  <TitlesOfParts>
    <vt:vector size="32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COMPOSIÇÃO 06</vt:lpstr>
      <vt:lpstr>COMPOSIÇÃO 07</vt:lpstr>
      <vt:lpstr>COMPOSIÇÃO 08</vt:lpstr>
      <vt:lpstr>COMPOSIÇÃO 09</vt:lpstr>
      <vt:lpstr>COMPOSIÇÃO 10</vt:lpstr>
      <vt:lpstr>COMPOSIÇÃO 11</vt:lpstr>
      <vt:lpstr>COMPOSIÇÃO 12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'COMPOSIÇÃO 06'!Area_de_impressao</vt:lpstr>
      <vt:lpstr>'COMPOSIÇÃO 07'!Area_de_impressao</vt:lpstr>
      <vt:lpstr>'COMPOSIÇÃO 08'!Area_de_impressao</vt:lpstr>
      <vt:lpstr>'COMPOSIÇÃO 09'!Area_de_impressao</vt:lpstr>
      <vt:lpstr>'COMPOSIÇÃO 10'!Area_de_impressao</vt:lpstr>
      <vt:lpstr>'COMPOSIÇÃO 11'!Area_de_impressao</vt:lpstr>
      <vt:lpstr>'CRONOGRAMA FISICO FINANCEIRO'!Area_de_impressao</vt:lpstr>
      <vt:lpstr>'MEMÓRIA DE CÁLCULO'!Area_de_impressao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2016-01-15T16:40:23Z</cp:lastPrinted>
  <dcterms:created xsi:type="dcterms:W3CDTF">2014-09-30T19:09:04Z</dcterms:created>
  <dcterms:modified xsi:type="dcterms:W3CDTF">2016-01-20T18:47:30Z</dcterms:modified>
  <dc:language>pt-BR</dc:language>
</cp:coreProperties>
</file>