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drawings/drawing6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320" windowHeight="9975" tabRatio="875" activeTab="1"/>
  </bookViews>
  <sheets>
    <sheet name="BDI" sheetId="13" r:id="rId1"/>
    <sheet name="CEIM_SÃO_PEDRO" sheetId="9" r:id="rId2"/>
    <sheet name="CRONOGRAMA" sheetId="12" r:id="rId3"/>
    <sheet name="MEMORIAL DE CÁLCULO " sheetId="14" r:id="rId4"/>
    <sheet name="COMPOSIÇÃO 01" sheetId="16" r:id="rId5"/>
    <sheet name="Plan1" sheetId="20" r:id="rId6"/>
    <sheet name="COMPOSIÇÃO 02" sheetId="21" r:id="rId7"/>
  </sheets>
  <externalReferences>
    <externalReference r:id="rId8"/>
    <externalReference r:id="rId9"/>
    <externalReference r:id="rId10"/>
  </externalReferences>
  <definedNames>
    <definedName name="Acima">INDIRECT(ADDRESS(ROW()-1,COLUMN()))</definedName>
    <definedName name="Aqui">INDIRECT(ADDRESS(ROW(),COLUMN()))</definedName>
    <definedName name="_xlnm.Print_Area" localSheetId="0">BDI!$A$1:$D$51</definedName>
    <definedName name="_xlnm.Print_Area" localSheetId="1">CEIM_SÃO_PEDRO!$A$1:$H$73</definedName>
    <definedName name="_xlnm.Print_Area" localSheetId="4">'COMPOSIÇÃO 01'!$A$1:$I$25</definedName>
    <definedName name="_xlnm.Print_Area" localSheetId="6">'COMPOSIÇÃO 02'!$A$1:$I$26</definedName>
    <definedName name="_xlnm.Print_Area" localSheetId="2">CRONOGRAMA!$A$1:$G$39</definedName>
    <definedName name="_xlnm.Print_Area" localSheetId="3">'MEMORIAL DE CÁLCULO '!$A$1:$K$870</definedName>
    <definedName name="Bm.colAtual" localSheetId="4">OFFSET(tabBM,,'COMPOSIÇÃO 01'!Bm.posAtual,,1)</definedName>
    <definedName name="Bm.colAtual" localSheetId="6">OFFSET([0]!tabBM,,'COMPOSIÇÃO 02'!Bm.posAtual,,1)</definedName>
    <definedName name="Bm.colAtual">OFFSET(tabBM,,'COMPOSIÇÃO 01'!Bm.posAtual,,1)</definedName>
    <definedName name="Bm.linAtual">INDEX('[1]Orçamento e Medição - MO37587'!$S$1:$S$65536,ROW())</definedName>
    <definedName name="Bm.Periodos">'[2]PLAN ADT 01'!$T$12:$AD$12</definedName>
    <definedName name="Bm.posAcum">#N/A</definedName>
    <definedName name="Bm.posAtual" localSheetId="4">IF(mediçao&lt;N(Bm.Periodos),-1,MATCH(mediçao,Bm.Periodos)-1)</definedName>
    <definedName name="Bm.posAtual" localSheetId="6">IF([0]!mediçao&lt;N([0]!Bm.Periodos),-1,MATCH([0]!mediçao,[0]!Bm.Periodos)-1)</definedName>
    <definedName name="Bm.posAtual">IF(mediçao&lt;N(Bm.Periodos),-1,MATCH(mediçao,Bm.Periodos)-1)</definedName>
    <definedName name="COMPOSIÇÃO_03" localSheetId="6">#REF!</definedName>
    <definedName name="COMPOSIÇÃO_03">#REF!</definedName>
    <definedName name="éAcertoGlosa" localSheetId="4">SUM(Orç.éGlosado)</definedName>
    <definedName name="éAcertoGlosa" localSheetId="6">SUM([0]!Orç.éGlosado)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 localSheetId="6">#REF!</definedName>
    <definedName name="Excel_BuiltIn_Print_Area_1_1">#REF!</definedName>
    <definedName name="Excel_BuiltIn_Print_Area_2_1">"$#REF!.$A$1:$J$410"</definedName>
    <definedName name="Excel_BuiltIn_Print_Area_3_1" localSheetId="6">#REF!</definedName>
    <definedName name="Excel_BuiltIn_Print_Area_3_1">#REF!</definedName>
    <definedName name="Excel_BuiltIn_Print_Area_3_1_1" localSheetId="6">#REF!</definedName>
    <definedName name="Excel_BuiltIn_Print_Area_3_1_1">#REF!</definedName>
    <definedName name="Excel_BuiltIn_Print_Area_4" localSheetId="6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 localSheetId="4">IF('COMPOSIÇÃO 01'!Item.éValido,IF('COMPOSIÇÃO 01'!Item.Quant,Esquerda/'COMPOSIÇÃO 01'!Item.Quant,"&gt;&gt;"),"")</definedName>
    <definedName name="ExecAcum" localSheetId="6">IF('COMPOSIÇÃO 02'!Item.éValido,IF('COMPOSIÇÃO 02'!Item.Quant,[0]!Esquerda/'COMPOSIÇÃO 02'!Item.Quant,"&gt;&gt;"),"")</definedName>
    <definedName name="ExecAcum">IF('COMPOSIÇÃO 01'!Item.éValido,IF('COMPOSIÇÃO 01'!Item.Quant,Esquerda/'COMPOSIÇÃO 01'!Item.Quant,"&gt;&gt;"),"")</definedName>
    <definedName name="ExecPeriodo">#N/A</definedName>
    <definedName name="FisicoAcum" localSheetId="4">IF('COMPOSIÇÃO 01'!Item.éValido,SUM(OFFSET(Bm.linAtual,,,,Bm.posAcum)),"")</definedName>
    <definedName name="FisicoAcum" localSheetId="6">IF('COMPOSIÇÃO 02'!Item.éValido,SUM(OFFSET([0]!Bm.linAtual,,,,[0]!Bm.posAcum)),"")</definedName>
    <definedName name="FisicoAcum">IF('COMPOSIÇÃO 01'!Item.éValido,SUM(OFFSET(Bm.linAtual,,,,Bm.posAcum)),"")</definedName>
    <definedName name="ggg" localSheetId="6">#REF!</definedName>
    <definedName name="ggg">#REF!</definedName>
    <definedName name="HHHH" localSheetId="6">#REF!</definedName>
    <definedName name="HHHH">#REF!</definedName>
    <definedName name="inicio">'[3]Orçamento e Medição - MO37587'!$S$5</definedName>
    <definedName name="Item.éAditado">LEN(TRIM(INDEX('[1]Orçamento e Medição - MO37587'!$L$1:$L$65536,ROW())))</definedName>
    <definedName name="Item.éValido" localSheetId="4">COUNT(OFFSET(Item.preçoLic,0,0,1,4))</definedName>
    <definedName name="Item.éValido" localSheetId="6">COUNT(OFFSET([0]!Item.preçoLic,0,0,1,4))</definedName>
    <definedName name="Item.éValido">COUNT(OFFSET(Item.preçoLic,0,0,1,4))</definedName>
    <definedName name="Item.Preço" localSheetId="4">N(IF(Item.éAditado*ISNUMBER(Item.preçoAlt),Item.preçoAlt,Item.preçoLic))</definedName>
    <definedName name="Item.Preço" localSheetId="6">N(IF([0]!Item.éAditado*ISNUMBER([0]!Item.preçoAlt),[0]!Item.preçoAlt,[0]!Item.preçoLic))</definedName>
    <definedName name="Item.Preço">N(IF(Item.éAditado*ISNUMBER(Item.preçoAlt),Item.preçoAlt,Item.preçoLic))</definedName>
    <definedName name="Item.preçoAlt">INDEX('[1]Orçamento e Medição - MO37587'!$K$1:$K$65536,ROW())</definedName>
    <definedName name="Item.preçoLic">INDEX('[1]Orçamento e Medição - MO37587'!$H$1:$H$65536,ROW())</definedName>
    <definedName name="Item.Quant" localSheetId="4">N(IF(Item.éAditado*ISNUMBER(Item.quantAlt),Item.quantAlt,Item.quantLic))</definedName>
    <definedName name="Item.Quant" localSheetId="6">N(IF([0]!Item.éAditado*ISNUMBER([0]!Item.quantAlt),[0]!Item.quantAlt,[0]!Item.quantLic))</definedName>
    <definedName name="Item.Quant">N(IF(Item.éAditado*ISNUMBER(Item.quantAlt),Item.quantAlt,Item.quantLic))</definedName>
    <definedName name="Item.quantAlt">INDEX('[1]Orçamento e Medição - MO37587'!$J$1:$J$65536,ROW())</definedName>
    <definedName name="Item.quantLic">INDEX('[1]Orçamento e Medição - MO37587'!$G$1:$G$65536,ROW())</definedName>
    <definedName name="mediçao">'[3]RESUMO - MO37588'!$M$2</definedName>
    <definedName name="Orç.colAdit">'[2]PLAN ADT 01'!$M$13:$M$793</definedName>
    <definedName name="Orç.éAditado" localSheetId="4">LEN(TRIM(Orç.colAdit))</definedName>
    <definedName name="Orç.éAditado" localSheetId="6">LEN(TRIM([0]!Orç.colAdit))</definedName>
    <definedName name="Orç.éAditado">LEN(TRIM(Orç.colAdit))</definedName>
    <definedName name="Orç.éGlosado">#N/A</definedName>
    <definedName name="Orç.percAcum">'[2]PLAN ADT 01'!$R$13:$R$787</definedName>
    <definedName name="Orç.percAnterior" localSheetId="4">Orç.percAcum-Orç.percAtual</definedName>
    <definedName name="Orç.percAnterior" localSheetId="6">[0]!Orç.percAcum-[0]!Orç.percAtual</definedName>
    <definedName name="Orç.percAnterior">Orç.percAcum-Orç.percAtual</definedName>
    <definedName name="Orç.percAtual">'[2]PLAN ADT 01'!$P$13:$P$787</definedName>
    <definedName name="Orç.preço" localSheetId="4">IF('COMPOSIÇÃO 01'!Orç.éAditado*ISNUMBER(Orç.preçoAlt),Orç.preçoAlt,Orç.preçoLic)</definedName>
    <definedName name="Orç.preço" localSheetId="6">IF('COMPOSIÇÃO 02'!Orç.éAditado*ISNUMBER([0]!Orç.preçoAlt),[0]!Orç.preçoAlt,[0]!Orç.preçoLic)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 localSheetId="4">IF(ISNUMBER(Orç.preçoAlt),Orç.preçoAlt,Orç.preçoLic)</definedName>
    <definedName name="Orç.preçoPrev" localSheetId="6">IF(ISNUMBER([0]!Orç.preçoAlt),[0]!Orç.preçoAlt,[0]!Orç.preçoLic)</definedName>
    <definedName name="Orç.preçoPrev">IF(ISNUMBER(Orç.preçoAlt),Orç.preçoAlt,Orç.preçoLic)</definedName>
    <definedName name="Orç.quant" localSheetId="4">IF('COMPOSIÇÃO 01'!Orç.éAditado*ISNUMBER(Orç.quantAlt),Orç.quantAlt,Orç.quantLic)</definedName>
    <definedName name="Orç.quant" localSheetId="6">IF('COMPOSIÇÃO 02'!Orç.éAditado*ISNUMBER([0]!Orç.quantAlt),[0]!Orç.quantAlt,[0]!Orç.quantLic)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 localSheetId="4">IF('COMPOSIÇÃO 01'!Item.éValido,'COMPOSIÇÃO 01'!Item.Quant*'COMPOSIÇÃO 01'!Item.Preço,"")</definedName>
    <definedName name="PreçoTotal" localSheetId="6">IF('COMPOSIÇÃO 02'!Item.éValido,'COMPOSIÇÃO 02'!Item.Quant*'COMPOSIÇÃO 02'!Item.Preço,"")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 localSheetId="4">OFFSET(tabOrçamento,Acima+1,0,ROWS(tabOrçamento)-Acima-1,1)</definedName>
    <definedName name="Res.linProxItem" localSheetId="6">OFFSET([0]!tabOrçamento,[0]!Acima+1,0,ROWS([0]!tabOrçamento)-[0]!Acima-1,1)</definedName>
    <definedName name="Res.linProxItem">OFFSET(tabOrçamento,Acima+1,0,ROWS(tabOrçamento)-Acima-1,1)</definedName>
    <definedName name="Res.percAcumulado">#N/A</definedName>
    <definedName name="Res.percAnterior" localSheetId="4">Res.percAcumulado-Res.percPeriodo</definedName>
    <definedName name="Res.percAnterior" localSheetId="6">[0]!Res.percAcumulado-[0]!Res.percPeriodo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tabBM">'[2]PLAN ADT 01'!$T$13:$AD$793</definedName>
    <definedName name="TABLE_1" localSheetId="4">#REF!</definedName>
    <definedName name="TABLE_1" localSheetId="6">#REF!</definedName>
    <definedName name="TABLE_1">#REF!</definedName>
    <definedName name="TABLE_1_1">NA()</definedName>
    <definedName name="TABLE_1_7">NA()</definedName>
    <definedName name="TABLE_2_1" localSheetId="4">#REF!</definedName>
    <definedName name="TABLE_2_1" localSheetId="6">#REF!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 localSheetId="6">#REF!</definedName>
    <definedName name="TipoContrato">#REF!</definedName>
    <definedName name="_xlnm.Print_Titles" localSheetId="1">CEIM_SÃO_PEDRO!$9:$9</definedName>
    <definedName name="_xlnm.Print_Titles" localSheetId="3">'MEMORIAL DE CÁLCULO '!$7:$7</definedName>
  </definedNames>
  <calcPr calcId="145621"/>
</workbook>
</file>

<file path=xl/calcChain.xml><?xml version="1.0" encoding="utf-8"?>
<calcChain xmlns="http://schemas.openxmlformats.org/spreadsheetml/2006/main">
  <c r="G18" i="12" l="1"/>
  <c r="F38" i="12"/>
  <c r="E38" i="12"/>
  <c r="D38" i="12"/>
  <c r="G36" i="12"/>
  <c r="G34" i="12"/>
  <c r="G32" i="12"/>
  <c r="G30" i="12"/>
  <c r="G26" i="12"/>
  <c r="G24" i="12"/>
  <c r="G22" i="12"/>
  <c r="C38" i="12"/>
  <c r="E35" i="12" s="1"/>
  <c r="H69" i="9"/>
  <c r="H70" i="9" s="1"/>
  <c r="H66" i="9"/>
  <c r="H67" i="9" s="1"/>
  <c r="H63" i="9"/>
  <c r="H61" i="9"/>
  <c r="H60" i="9"/>
  <c r="H64" i="9" s="1"/>
  <c r="H48" i="9"/>
  <c r="H47" i="9"/>
  <c r="H50" i="9" s="1"/>
  <c r="H19" i="9"/>
  <c r="H20" i="9" s="1"/>
  <c r="H16" i="9"/>
  <c r="H13" i="9"/>
  <c r="H57" i="9"/>
  <c r="H58" i="9" s="1"/>
  <c r="H54" i="9"/>
  <c r="H53" i="9"/>
  <c r="H52" i="9"/>
  <c r="H55" i="9" s="1"/>
  <c r="H49" i="9"/>
  <c r="H44" i="9"/>
  <c r="H45" i="9" s="1"/>
  <c r="H41" i="9"/>
  <c r="H42" i="9" s="1"/>
  <c r="H37" i="9"/>
  <c r="H38" i="9" s="1"/>
  <c r="H34" i="9"/>
  <c r="H35" i="9" s="1"/>
  <c r="H33" i="9"/>
  <c r="H31" i="9"/>
  <c r="H29" i="9"/>
  <c r="H27" i="9"/>
  <c r="H25" i="9"/>
  <c r="H24" i="9"/>
  <c r="H32" i="9" s="1"/>
  <c r="H23" i="9"/>
  <c r="H15" i="9"/>
  <c r="H14" i="9"/>
  <c r="H12" i="9"/>
  <c r="H17" i="9" s="1"/>
  <c r="F27" i="12"/>
  <c r="G28" i="12"/>
  <c r="G20" i="12"/>
  <c r="G16" i="12"/>
  <c r="G14" i="12"/>
  <c r="G12" i="12"/>
  <c r="G38" i="12" s="1"/>
  <c r="F859" i="14"/>
  <c r="H11" i="21"/>
  <c r="I11" i="21" s="1"/>
  <c r="F10" i="21"/>
  <c r="H10" i="21" s="1"/>
  <c r="I10" i="21" s="1"/>
  <c r="I7" i="21"/>
  <c r="H7" i="21"/>
  <c r="I6" i="21"/>
  <c r="H6" i="21"/>
  <c r="F856" i="14"/>
  <c r="F853" i="14"/>
  <c r="F849" i="14"/>
  <c r="E845" i="14"/>
  <c r="F843" i="14" s="1"/>
  <c r="E848" i="14"/>
  <c r="F846" i="14" s="1"/>
  <c r="F97" i="14"/>
  <c r="F95" i="14" s="1"/>
  <c r="D325" i="14"/>
  <c r="D324" i="14"/>
  <c r="F697" i="14"/>
  <c r="F695" i="14"/>
  <c r="F690" i="14"/>
  <c r="F684" i="14"/>
  <c r="F675" i="14"/>
  <c r="F670" i="14"/>
  <c r="F668" i="14"/>
  <c r="F667" i="14"/>
  <c r="F660" i="14"/>
  <c r="F658" i="14"/>
  <c r="F652" i="14"/>
  <c r="E440" i="14"/>
  <c r="E441" i="14"/>
  <c r="E442" i="14"/>
  <c r="E426" i="14"/>
  <c r="E427" i="14"/>
  <c r="E428" i="14"/>
  <c r="E429" i="14"/>
  <c r="E430" i="14"/>
  <c r="E431" i="14"/>
  <c r="E432" i="14"/>
  <c r="E433" i="14"/>
  <c r="E434" i="14"/>
  <c r="E435" i="14"/>
  <c r="E436" i="14"/>
  <c r="E437" i="14"/>
  <c r="E438" i="14"/>
  <c r="E439" i="14"/>
  <c r="E425" i="14"/>
  <c r="E405" i="14"/>
  <c r="E404" i="14"/>
  <c r="E402" i="14"/>
  <c r="E398" i="14"/>
  <c r="E397" i="14"/>
  <c r="E395" i="14"/>
  <c r="E393" i="14"/>
  <c r="F350" i="14"/>
  <c r="F353" i="14"/>
  <c r="F354" i="14"/>
  <c r="F357" i="14"/>
  <c r="F356" i="14"/>
  <c r="F347" i="14"/>
  <c r="F345" i="14"/>
  <c r="F344" i="14"/>
  <c r="F343" i="14"/>
  <c r="F342" i="14"/>
  <c r="F340" i="14"/>
  <c r="E329" i="14"/>
  <c r="F292" i="14"/>
  <c r="F291" i="14"/>
  <c r="F290" i="14"/>
  <c r="F287" i="14"/>
  <c r="F286" i="14"/>
  <c r="F283" i="14"/>
  <c r="F281" i="14" s="1"/>
  <c r="F267" i="14"/>
  <c r="F268" i="14"/>
  <c r="F269" i="14"/>
  <c r="F270" i="14"/>
  <c r="F271" i="14"/>
  <c r="F272" i="14"/>
  <c r="F273" i="14"/>
  <c r="F274" i="14"/>
  <c r="F275" i="14"/>
  <c r="F276" i="14"/>
  <c r="F277" i="14"/>
  <c r="F278" i="14"/>
  <c r="F279" i="14"/>
  <c r="F280" i="14"/>
  <c r="F266" i="14"/>
  <c r="F253" i="14"/>
  <c r="F252" i="14"/>
  <c r="E228" i="14"/>
  <c r="E227" i="14"/>
  <c r="E225" i="14"/>
  <c r="E224" i="14"/>
  <c r="E222" i="14"/>
  <c r="E221" i="14"/>
  <c r="E219" i="14"/>
  <c r="E214" i="14"/>
  <c r="E211" i="14"/>
  <c r="E209" i="14"/>
  <c r="E207" i="14"/>
  <c r="E201" i="14"/>
  <c r="E198" i="14"/>
  <c r="E195" i="14"/>
  <c r="E194" i="14"/>
  <c r="D86" i="14"/>
  <c r="E70" i="14"/>
  <c r="E69" i="14"/>
  <c r="E46" i="14"/>
  <c r="F40" i="14"/>
  <c r="E11" i="14"/>
  <c r="F9" i="14" s="1"/>
  <c r="E727" i="14"/>
  <c r="F727" i="14" s="1"/>
  <c r="E728" i="14"/>
  <c r="F728" i="14" s="1"/>
  <c r="E729" i="14"/>
  <c r="F729" i="14" s="1"/>
  <c r="E726" i="14"/>
  <c r="F726" i="14" s="1"/>
  <c r="E757" i="14"/>
  <c r="F757" i="14" s="1"/>
  <c r="E756" i="14"/>
  <c r="F756" i="14" s="1"/>
  <c r="E755" i="14"/>
  <c r="F755" i="14" s="1"/>
  <c r="E754" i="14"/>
  <c r="F754" i="14" s="1"/>
  <c r="E688" i="14"/>
  <c r="F688" i="14" s="1"/>
  <c r="E686" i="14"/>
  <c r="F686" i="14" s="1"/>
  <c r="E685" i="14"/>
  <c r="F685" i="14" s="1"/>
  <c r="E646" i="14"/>
  <c r="E644" i="14"/>
  <c r="E642" i="14"/>
  <c r="E639" i="14"/>
  <c r="E636" i="14"/>
  <c r="E637" i="14"/>
  <c r="E638" i="14"/>
  <c r="E635" i="14"/>
  <c r="E687" i="14"/>
  <c r="F687" i="14" s="1"/>
  <c r="F619" i="14"/>
  <c r="F620" i="14"/>
  <c r="F621" i="14"/>
  <c r="F622" i="14"/>
  <c r="F623" i="14"/>
  <c r="F624" i="14"/>
  <c r="F625" i="14"/>
  <c r="F626" i="14"/>
  <c r="F627" i="14"/>
  <c r="F628" i="14"/>
  <c r="F629" i="14"/>
  <c r="F630" i="14"/>
  <c r="F631" i="14"/>
  <c r="F618" i="14"/>
  <c r="E334" i="14"/>
  <c r="E333" i="14"/>
  <c r="E332" i="14"/>
  <c r="E331" i="14"/>
  <c r="E90" i="14"/>
  <c r="E89" i="14"/>
  <c r="E94" i="14"/>
  <c r="E93" i="14"/>
  <c r="E218" i="14"/>
  <c r="F247" i="14"/>
  <c r="F248" i="14"/>
  <c r="F249" i="14"/>
  <c r="F246" i="14"/>
  <c r="F236" i="14"/>
  <c r="F237" i="14"/>
  <c r="F238" i="14"/>
  <c r="F240" i="14"/>
  <c r="F241" i="14"/>
  <c r="F242" i="14"/>
  <c r="F243" i="14"/>
  <c r="F235" i="14"/>
  <c r="C28" i="14"/>
  <c r="F28" i="14" s="1"/>
  <c r="C26" i="14"/>
  <c r="F26" i="14" s="1"/>
  <c r="C29" i="14"/>
  <c r="F29" i="14" s="1"/>
  <c r="C27" i="14"/>
  <c r="F27" i="14" s="1"/>
  <c r="C25" i="14"/>
  <c r="F25" i="14" s="1"/>
  <c r="C23" i="14"/>
  <c r="F23" i="14" s="1"/>
  <c r="C24" i="14"/>
  <c r="F24" i="14" s="1"/>
  <c r="C22" i="14"/>
  <c r="F22" i="14" s="1"/>
  <c r="E308" i="14"/>
  <c r="E307" i="14"/>
  <c r="E306" i="14"/>
  <c r="E305" i="14"/>
  <c r="E304" i="14"/>
  <c r="E302" i="14"/>
  <c r="E318" i="14"/>
  <c r="E317" i="14"/>
  <c r="E321" i="14"/>
  <c r="F319" i="14" s="1"/>
  <c r="E316" i="14"/>
  <c r="E315" i="14"/>
  <c r="E297" i="14"/>
  <c r="D85" i="14"/>
  <c r="E82" i="14"/>
  <c r="E81" i="14"/>
  <c r="E80" i="14"/>
  <c r="E79" i="14"/>
  <c r="E78" i="14"/>
  <c r="E77" i="14"/>
  <c r="E39" i="14"/>
  <c r="E38" i="14"/>
  <c r="E37" i="14"/>
  <c r="E36" i="14"/>
  <c r="E35" i="14"/>
  <c r="E34" i="14"/>
  <c r="C187" i="14"/>
  <c r="E458" i="14"/>
  <c r="F457" i="14" s="1"/>
  <c r="D119" i="14"/>
  <c r="F116" i="14" s="1"/>
  <c r="F115" i="14"/>
  <c r="F113" i="14"/>
  <c r="F180" i="14"/>
  <c r="H122" i="14"/>
  <c r="E179" i="14"/>
  <c r="G179" i="14" s="1"/>
  <c r="B177" i="14"/>
  <c r="E177" i="14"/>
  <c r="G173" i="14"/>
  <c r="G171" i="14"/>
  <c r="F167" i="14"/>
  <c r="F165" i="14"/>
  <c r="G148" i="14"/>
  <c r="E159" i="14"/>
  <c r="G159" i="14" s="1"/>
  <c r="B157" i="14"/>
  <c r="G157" i="14" s="1"/>
  <c r="G152" i="14"/>
  <c r="G150" i="14"/>
  <c r="F142" i="14"/>
  <c r="F144" i="14"/>
  <c r="F140" i="14"/>
  <c r="F137" i="14" s="1"/>
  <c r="F136" i="14"/>
  <c r="F134" i="14"/>
  <c r="C374" i="14"/>
  <c r="E374" i="14" s="1"/>
  <c r="C451" i="14"/>
  <c r="E216" i="14"/>
  <c r="F21" i="14"/>
  <c r="E373" i="14"/>
  <c r="E372" i="14"/>
  <c r="E362" i="14"/>
  <c r="E361" i="14"/>
  <c r="C375" i="14"/>
  <c r="E375" i="14" s="1"/>
  <c r="C371" i="14"/>
  <c r="E371" i="14" s="1"/>
  <c r="E415" i="14"/>
  <c r="F413" i="14" s="1"/>
  <c r="E412" i="14"/>
  <c r="E411" i="14"/>
  <c r="C364" i="14"/>
  <c r="E364" i="14" s="1"/>
  <c r="C365" i="14"/>
  <c r="E365" i="14" s="1"/>
  <c r="F753" i="14"/>
  <c r="C752" i="14"/>
  <c r="F752" i="14" s="1"/>
  <c r="C751" i="14"/>
  <c r="F751" i="14" s="1"/>
  <c r="C682" i="14"/>
  <c r="F682" i="14" s="1"/>
  <c r="C683" i="14"/>
  <c r="F683" i="14" s="1"/>
  <c r="F349" i="14"/>
  <c r="F348" i="14"/>
  <c r="D773" i="14"/>
  <c r="F773" i="14" s="1"/>
  <c r="D704" i="14"/>
  <c r="F704" i="14" s="1"/>
  <c r="D355" i="14"/>
  <c r="F355" i="14" s="1"/>
  <c r="E104" i="14"/>
  <c r="F772" i="14"/>
  <c r="F703" i="14"/>
  <c r="C455" i="14"/>
  <c r="C454" i="14"/>
  <c r="F832" i="14"/>
  <c r="F831" i="14"/>
  <c r="F830" i="14"/>
  <c r="F829" i="14"/>
  <c r="C828" i="14"/>
  <c r="F828" i="14" s="1"/>
  <c r="F416" i="14"/>
  <c r="E368" i="14"/>
  <c r="F366" i="14" s="1"/>
  <c r="E363" i="14"/>
  <c r="F813" i="14"/>
  <c r="F812" i="14"/>
  <c r="F811" i="14"/>
  <c r="F810" i="14"/>
  <c r="F809" i="14"/>
  <c r="F808" i="14"/>
  <c r="F807" i="14"/>
  <c r="C805" i="14"/>
  <c r="F805" i="14" s="1"/>
  <c r="C804" i="14"/>
  <c r="F804" i="14" s="1"/>
  <c r="D803" i="14"/>
  <c r="F803" i="14" s="1"/>
  <c r="F802" i="14"/>
  <c r="C801" i="14"/>
  <c r="F801" i="14" s="1"/>
  <c r="F800" i="14"/>
  <c r="F799" i="14"/>
  <c r="F798" i="14"/>
  <c r="F797" i="14"/>
  <c r="F796" i="14"/>
  <c r="D795" i="14"/>
  <c r="F795" i="14" s="1"/>
  <c r="C794" i="14"/>
  <c r="F794" i="14" s="1"/>
  <c r="D793" i="14"/>
  <c r="F793" i="14" s="1"/>
  <c r="E792" i="14"/>
  <c r="F792" i="14" s="1"/>
  <c r="C791" i="14"/>
  <c r="F791" i="14" s="1"/>
  <c r="F790" i="14"/>
  <c r="D789" i="14"/>
  <c r="F789" i="14" s="1"/>
  <c r="E788" i="14"/>
  <c r="F788" i="14" s="1"/>
  <c r="F786" i="14"/>
  <c r="F785" i="14"/>
  <c r="F784" i="14"/>
  <c r="F783" i="14"/>
  <c r="F782" i="14"/>
  <c r="E781" i="14"/>
  <c r="F781" i="14" s="1"/>
  <c r="E780" i="14"/>
  <c r="F780" i="14" s="1"/>
  <c r="F779" i="14"/>
  <c r="E778" i="14"/>
  <c r="F778" i="14" s="1"/>
  <c r="F777" i="14"/>
  <c r="E776" i="14"/>
  <c r="F776" i="14" s="1"/>
  <c r="F770" i="14"/>
  <c r="F769" i="14"/>
  <c r="F768" i="14"/>
  <c r="F767" i="14"/>
  <c r="F766" i="14"/>
  <c r="F765" i="14"/>
  <c r="F764" i="14"/>
  <c r="C762" i="14"/>
  <c r="F762" i="14" s="1"/>
  <c r="C761" i="14"/>
  <c r="F761" i="14" s="1"/>
  <c r="D760" i="14"/>
  <c r="F760" i="14" s="1"/>
  <c r="F759" i="14"/>
  <c r="C758" i="14"/>
  <c r="F758" i="14" s="1"/>
  <c r="F750" i="14"/>
  <c r="D749" i="14"/>
  <c r="F749" i="14" s="1"/>
  <c r="C748" i="14"/>
  <c r="F748" i="14" s="1"/>
  <c r="D747" i="14"/>
  <c r="F747" i="14" s="1"/>
  <c r="E746" i="14"/>
  <c r="F746" i="14" s="1"/>
  <c r="C745" i="14"/>
  <c r="F745" i="14" s="1"/>
  <c r="F744" i="14"/>
  <c r="D743" i="14"/>
  <c r="F743" i="14" s="1"/>
  <c r="E742" i="14"/>
  <c r="F742" i="14" s="1"/>
  <c r="C741" i="14"/>
  <c r="F741" i="14" s="1"/>
  <c r="D740" i="14"/>
  <c r="F740" i="14" s="1"/>
  <c r="F739" i="14"/>
  <c r="F738" i="14"/>
  <c r="F737" i="14"/>
  <c r="F736" i="14"/>
  <c r="E735" i="14"/>
  <c r="F735" i="14" s="1"/>
  <c r="E733" i="14"/>
  <c r="F733" i="14" s="1"/>
  <c r="E732" i="14"/>
  <c r="F732" i="14" s="1"/>
  <c r="F701" i="14"/>
  <c r="F700" i="14"/>
  <c r="F699" i="14"/>
  <c r="F698" i="14"/>
  <c r="F696" i="14"/>
  <c r="C693" i="14"/>
  <c r="F693" i="14" s="1"/>
  <c r="C692" i="14"/>
  <c r="F692" i="14" s="1"/>
  <c r="D691" i="14"/>
  <c r="F691" i="14" s="1"/>
  <c r="C689" i="14"/>
  <c r="F689" i="14" s="1"/>
  <c r="E677" i="14"/>
  <c r="F677" i="14" s="1"/>
  <c r="C676" i="14"/>
  <c r="F676" i="14" s="1"/>
  <c r="C679" i="14"/>
  <c r="F679" i="14" s="1"/>
  <c r="F681" i="14"/>
  <c r="D680" i="14"/>
  <c r="F680" i="14" s="1"/>
  <c r="D678" i="14"/>
  <c r="F678" i="14" s="1"/>
  <c r="D674" i="14"/>
  <c r="F674" i="14" s="1"/>
  <c r="E673" i="14"/>
  <c r="F673" i="14" s="1"/>
  <c r="E666" i="14"/>
  <c r="F666" i="14" s="1"/>
  <c r="E653" i="14"/>
  <c r="C672" i="14"/>
  <c r="F672" i="14" s="1"/>
  <c r="D671" i="14"/>
  <c r="F671" i="14" s="1"/>
  <c r="F669" i="14"/>
  <c r="E664" i="14"/>
  <c r="F664" i="14" s="1"/>
  <c r="E663" i="14"/>
  <c r="F663" i="14" s="1"/>
  <c r="F725" i="14"/>
  <c r="E724" i="14"/>
  <c r="F724" i="14" s="1"/>
  <c r="E723" i="14"/>
  <c r="F723" i="14" s="1"/>
  <c r="F722" i="14"/>
  <c r="F718" i="14"/>
  <c r="E721" i="14"/>
  <c r="F721" i="14" s="1"/>
  <c r="E717" i="14"/>
  <c r="F717" i="14" s="1"/>
  <c r="F720" i="14"/>
  <c r="E719" i="14"/>
  <c r="F719" i="14" s="1"/>
  <c r="F716" i="14"/>
  <c r="E715" i="14"/>
  <c r="F715" i="14" s="1"/>
  <c r="D714" i="14"/>
  <c r="F714" i="14" s="1"/>
  <c r="D713" i="14"/>
  <c r="F713" i="14" s="1"/>
  <c r="D712" i="14"/>
  <c r="F712" i="14" s="1"/>
  <c r="E711" i="14"/>
  <c r="D711" i="14"/>
  <c r="F710" i="14"/>
  <c r="F709" i="14"/>
  <c r="E708" i="14"/>
  <c r="F708" i="14" s="1"/>
  <c r="E707" i="14"/>
  <c r="F707" i="14" s="1"/>
  <c r="E659" i="14"/>
  <c r="F659" i="14" s="1"/>
  <c r="E657" i="14"/>
  <c r="F657" i="14" s="1"/>
  <c r="D655" i="14"/>
  <c r="F655" i="14" s="1"/>
  <c r="D656" i="14"/>
  <c r="F656" i="14" s="1"/>
  <c r="D654" i="14"/>
  <c r="F654" i="14" s="1"/>
  <c r="D653" i="14"/>
  <c r="F651" i="14"/>
  <c r="E650" i="14"/>
  <c r="F650" i="14" s="1"/>
  <c r="E649" i="14"/>
  <c r="F649" i="14" s="1"/>
  <c r="D615" i="14"/>
  <c r="F615" i="14" s="1"/>
  <c r="E311" i="14"/>
  <c r="F309" i="14" s="1"/>
  <c r="E215" i="14"/>
  <c r="E212" i="14"/>
  <c r="F245" i="14"/>
  <c r="C20" i="14"/>
  <c r="F20" i="14" s="1"/>
  <c r="C19" i="14"/>
  <c r="F19" i="14" s="1"/>
  <c r="F18" i="14"/>
  <c r="C17" i="14"/>
  <c r="F17" i="14" s="1"/>
  <c r="F14" i="14"/>
  <c r="F15" i="14"/>
  <c r="C16" i="14"/>
  <c r="F16" i="14" s="1"/>
  <c r="E72" i="14"/>
  <c r="F61" i="14"/>
  <c r="F55" i="14"/>
  <c r="E817" i="14"/>
  <c r="E818" i="14"/>
  <c r="E819" i="14"/>
  <c r="E820" i="14"/>
  <c r="E822" i="14"/>
  <c r="E823" i="14"/>
  <c r="E825" i="14"/>
  <c r="D824" i="14"/>
  <c r="E824" i="14" s="1"/>
  <c r="C821" i="14"/>
  <c r="E821" i="14" s="1"/>
  <c r="E816" i="14"/>
  <c r="E54" i="14"/>
  <c r="F52" i="14" s="1"/>
  <c r="D614" i="14"/>
  <c r="F614" i="14" s="1"/>
  <c r="F611" i="14"/>
  <c r="F612" i="14"/>
  <c r="F613" i="14"/>
  <c r="C453" i="14"/>
  <c r="C452" i="14"/>
  <c r="C447" i="14"/>
  <c r="C448" i="14"/>
  <c r="C449" i="14"/>
  <c r="C450" i="14"/>
  <c r="C446" i="14"/>
  <c r="C445" i="14"/>
  <c r="E408" i="14"/>
  <c r="F406" i="14" s="1"/>
  <c r="E392" i="14"/>
  <c r="E391" i="14"/>
  <c r="E390" i="14"/>
  <c r="E387" i="14"/>
  <c r="F385" i="14" s="1"/>
  <c r="E383" i="14"/>
  <c r="E384" i="14"/>
  <c r="C360" i="14"/>
  <c r="E360" i="14" s="1"/>
  <c r="D351" i="14"/>
  <c r="F351" i="14" s="1"/>
  <c r="C352" i="14"/>
  <c r="F352" i="14" s="1"/>
  <c r="C346" i="14"/>
  <c r="F346" i="14" s="1"/>
  <c r="E341" i="14"/>
  <c r="F341" i="14" s="1"/>
  <c r="E339" i="14"/>
  <c r="F339" i="14" s="1"/>
  <c r="E338" i="14"/>
  <c r="F338" i="14" s="1"/>
  <c r="F327" i="14"/>
  <c r="E296" i="14"/>
  <c r="E301" i="14"/>
  <c r="C244" i="14"/>
  <c r="F244" i="14" s="1"/>
  <c r="C239" i="14"/>
  <c r="F239" i="14" s="1"/>
  <c r="E234" i="14"/>
  <c r="F234" i="14" s="1"/>
  <c r="E232" i="14"/>
  <c r="F232" i="14" s="1"/>
  <c r="E231" i="14"/>
  <c r="F231" i="14" s="1"/>
  <c r="E204" i="14"/>
  <c r="E205" i="14"/>
  <c r="E202" i="14"/>
  <c r="E103" i="14"/>
  <c r="C45" i="14"/>
  <c r="E45" i="14" s="1"/>
  <c r="F610" i="14"/>
  <c r="I7" i="16"/>
  <c r="H7" i="16"/>
  <c r="I6" i="16"/>
  <c r="I8" i="16" s="1"/>
  <c r="I15" i="16" s="1"/>
  <c r="H6" i="16"/>
  <c r="H10" i="16"/>
  <c r="I10" i="16"/>
  <c r="I11" i="16" s="1"/>
  <c r="F868" i="14"/>
  <c r="F866" i="14" s="1"/>
  <c r="E102" i="14"/>
  <c r="F863" i="14"/>
  <c r="F233" i="14"/>
  <c r="E382" i="14"/>
  <c r="E199" i="14"/>
  <c r="E196" i="14"/>
  <c r="B26" i="13"/>
  <c r="B31" i="13" s="1"/>
  <c r="C39" i="13" s="1"/>
  <c r="B22" i="13"/>
  <c r="I16" i="16"/>
  <c r="H71" i="9" l="1"/>
  <c r="E33" i="12"/>
  <c r="E27" i="12"/>
  <c r="F37" i="12"/>
  <c r="I22" i="16"/>
  <c r="F19" i="12"/>
  <c r="F399" i="14"/>
  <c r="E25" i="12"/>
  <c r="G35" i="12"/>
  <c r="G29" i="12"/>
  <c r="G23" i="12"/>
  <c r="G31" i="12"/>
  <c r="G37" i="12"/>
  <c r="I12" i="21"/>
  <c r="I17" i="21" s="1"/>
  <c r="I16" i="21"/>
  <c r="I21" i="21" s="1"/>
  <c r="I8" i="21"/>
  <c r="F653" i="14"/>
  <c r="I23" i="21"/>
  <c r="I20" i="21"/>
  <c r="F423" i="14"/>
  <c r="D839" i="14"/>
  <c r="F322" i="14"/>
  <c r="F616" i="14"/>
  <c r="F264" i="14"/>
  <c r="F99" i="14"/>
  <c r="F91" i="14"/>
  <c r="F87" i="14"/>
  <c r="F250" i="14"/>
  <c r="G25" i="12"/>
  <c r="F380" i="14"/>
  <c r="F299" i="14"/>
  <c r="F358" i="14"/>
  <c r="F711" i="14"/>
  <c r="F705" i="14" s="1"/>
  <c r="G177" i="14"/>
  <c r="F174" i="14" s="1"/>
  <c r="F30" i="14"/>
  <c r="F73" i="14"/>
  <c r="F83" i="14"/>
  <c r="F313" i="14"/>
  <c r="F191" i="14"/>
  <c r="F12" i="14"/>
  <c r="F67" i="14"/>
  <c r="F229" i="14"/>
  <c r="F43" i="14"/>
  <c r="F284" i="14"/>
  <c r="F388" i="14"/>
  <c r="F443" i="14"/>
  <c r="F632" i="14"/>
  <c r="F409" i="14"/>
  <c r="G17" i="12"/>
  <c r="G27" i="12"/>
  <c r="G33" i="12"/>
  <c r="F608" i="14"/>
  <c r="F294" i="14"/>
  <c r="F162" i="14"/>
  <c r="F288" i="14"/>
  <c r="F826" i="14"/>
  <c r="F131" i="14"/>
  <c r="F110" i="14"/>
  <c r="F369" i="14"/>
  <c r="F336" i="14"/>
  <c r="F661" i="14"/>
  <c r="F154" i="14"/>
  <c r="F145" i="14"/>
  <c r="F168" i="14"/>
  <c r="G21" i="12"/>
  <c r="F814" i="14"/>
  <c r="F647" i="14"/>
  <c r="F730" i="14"/>
  <c r="F774" i="14"/>
  <c r="I20" i="16"/>
  <c r="I21" i="16" s="1"/>
  <c r="I19" i="16"/>
  <c r="G15" i="12"/>
  <c r="I22" i="21" l="1"/>
  <c r="G19" i="12"/>
  <c r="I45" i="9"/>
  <c r="D836" i="14"/>
  <c r="F834" i="14" s="1"/>
  <c r="D842" i="14"/>
  <c r="F840" i="14" s="1"/>
  <c r="F837" i="14"/>
  <c r="F376" i="14"/>
  <c r="G13" i="12"/>
  <c r="H38" i="12" l="1"/>
  <c r="I38" i="12" s="1"/>
  <c r="F39" i="12"/>
  <c r="D15" i="12"/>
  <c r="E17" i="12"/>
  <c r="E23" i="12"/>
  <c r="D13" i="12"/>
  <c r="F33" i="12"/>
  <c r="E21" i="12"/>
  <c r="D29" i="12"/>
  <c r="E39" i="12"/>
  <c r="D17" i="12"/>
  <c r="F31" i="12"/>
  <c r="D39" i="12"/>
  <c r="G39" i="12" l="1"/>
</calcChain>
</file>

<file path=xl/sharedStrings.xml><?xml version="1.0" encoding="utf-8"?>
<sst xmlns="http://schemas.openxmlformats.org/spreadsheetml/2006/main" count="1797" uniqueCount="686">
  <si>
    <t xml:space="preserve"> ITEM </t>
  </si>
  <si>
    <t>COD. REF</t>
  </si>
  <si>
    <t>FONTE</t>
  </si>
  <si>
    <t xml:space="preserve"> DISCRIMINAÇÃO </t>
  </si>
  <si>
    <t>SERVIÇOS PRELIMINARES</t>
  </si>
  <si>
    <t>m²</t>
  </si>
  <si>
    <t>01.02</t>
  </si>
  <si>
    <t>m³</t>
  </si>
  <si>
    <t>SUB-TOTAL</t>
  </si>
  <si>
    <t>MOVIMENTO DE TERRA</t>
  </si>
  <si>
    <t>kg</t>
  </si>
  <si>
    <t>PINTURA</t>
  </si>
  <si>
    <t>SERVIÇOS COMPLEMENTARES EXTERNOS</t>
  </si>
  <si>
    <t>TOTAL</t>
  </si>
  <si>
    <t>Unid</t>
  </si>
  <si>
    <t>Quant</t>
  </si>
  <si>
    <t>P. Total</t>
  </si>
  <si>
    <t>m</t>
  </si>
  <si>
    <t xml:space="preserve"> 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</si>
  <si>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</si>
  <si>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 xml:space="preserve">ITEM </t>
  </si>
  <si>
    <t>DESCRIÇÃO DOS SERVIÇOS</t>
  </si>
  <si>
    <t>UND.</t>
  </si>
  <si>
    <t>QUANT.</t>
  </si>
  <si>
    <t>01.03</t>
  </si>
  <si>
    <t>ITEM</t>
  </si>
  <si>
    <t>SERVIÇOS</t>
  </si>
  <si>
    <t>VALORES</t>
  </si>
  <si>
    <t>01º MÊS</t>
  </si>
  <si>
    <t>02º MÊS</t>
  </si>
  <si>
    <t>03º MÊS</t>
  </si>
  <si>
    <t>CRONOGRAMA FÍSICO-FINANCEIRO</t>
  </si>
  <si>
    <t>TOTAL COM BDI</t>
  </si>
  <si>
    <t>IOPES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</si>
  <si>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</si>
  <si>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</si>
  <si>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</si>
  <si>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</si>
  <si>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</si>
  <si>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%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</si>
  <si>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</si>
  <si>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</si>
  <si>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</si>
  <si>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</si>
  <si>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</si>
  <si>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</si>
  <si>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</si>
  <si>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</si>
  <si>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</si>
  <si>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</si>
  <si>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</si>
  <si>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</si>
  <si>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</si>
  <si>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>onde:
AC = taxa de rateio da Administração Central;
DF = taxa das despesas financeiras;
R = taxa de risco, seguro e garantia do empreendimento;
I = taxa de tributos;
L = taxa de lucro.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</si>
  <si>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</si>
  <si>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</si>
  <si>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</si>
  <si>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</si>
  <si>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</si>
  <si>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OBRA OU SERVIÇO:  MURO PRÉ-MOLDADO CASA DO PESCADO</t>
  </si>
  <si>
    <t>LOCAL:  LOTES DE Nº 01,02,03,04, DA QUADRA 84, LOTEAMENTO PRAIA DE GURIRI, MARIRICU, S. MATEUS-ES.</t>
  </si>
  <si>
    <t>INSTALAÇÃO DO CANTEIRO DE OBRAS</t>
  </si>
  <si>
    <t>PAREDES E PAINEIS</t>
  </si>
  <si>
    <t>ESQUADRIAS DE MADEIRA</t>
  </si>
  <si>
    <t>und</t>
  </si>
  <si>
    <t>ESQUADRIAS METÁLICA</t>
  </si>
  <si>
    <t>COBERTURA</t>
  </si>
  <si>
    <t>TETOS E FORROS</t>
  </si>
  <si>
    <t>Forro PVC branco L = 20 cm, frisado, colocado</t>
  </si>
  <si>
    <t>REVESTIMENTO DE PAREDES</t>
  </si>
  <si>
    <t>PISOS INTERNOS E EXTERNOS</t>
  </si>
  <si>
    <t>Bacia sifonada de louça branca para portadores de necessidades especiais, Vogue Plus Conforto - Linha Conforto, mod P51, incl. assento com abertura frontal, ref.AP52,marca de ref. Deca ou equivalente</t>
  </si>
  <si>
    <t>Torneira pressão cromada diâm. 1/2" para lavatório, marcas de referência Fabrimar, Deca ou Docol</t>
  </si>
  <si>
    <t>Válvula de descarga com canopla cromada de 40mm (11/4"), marcas de referência Fabrimar, Deca ou Docol</t>
  </si>
  <si>
    <t>Barra de apoio de ferro galvanizado, diâm. 3 cm, comprimento de 80 cm, para sanitário deficientes, inclusive pintura</t>
  </si>
  <si>
    <t>01.05</t>
  </si>
  <si>
    <t>P.Unit na tabela</t>
  </si>
  <si>
    <t>01.04</t>
  </si>
  <si>
    <t>02.01</t>
  </si>
  <si>
    <t>MEMÓRIA DE CÁLCULO</t>
  </si>
  <si>
    <t>Data emissão</t>
  </si>
  <si>
    <t>Revisão 00</t>
  </si>
  <si>
    <t>m3</t>
  </si>
  <si>
    <t>LOCAL</t>
  </si>
  <si>
    <t>COMPR.</t>
  </si>
  <si>
    <t>LARG.</t>
  </si>
  <si>
    <t>ALT.</t>
  </si>
  <si>
    <t xml:space="preserve">m2 </t>
  </si>
  <si>
    <t xml:space="preserve">Nova placa com dados do contrato </t>
  </si>
  <si>
    <t>Estimativa de novo barracão para utilização da nova empresa</t>
  </si>
  <si>
    <t>ALTURA</t>
  </si>
  <si>
    <t>ESTRUTURA</t>
  </si>
  <si>
    <t>4.01</t>
  </si>
  <si>
    <t xml:space="preserve">INFRA-ESTRUTURA </t>
  </si>
  <si>
    <t>LARGURA</t>
  </si>
  <si>
    <t xml:space="preserve"> ALTURA</t>
  </si>
  <si>
    <t>4.02</t>
  </si>
  <si>
    <t xml:space="preserve">SUPER-ESTRUTURA </t>
  </si>
  <si>
    <t>m2</t>
  </si>
  <si>
    <t xml:space="preserve">m </t>
  </si>
  <si>
    <t>ACRÉSCIMO (IOPES)</t>
  </si>
  <si>
    <t>porta</t>
  </si>
  <si>
    <t>DESCONTO</t>
  </si>
  <si>
    <t>parede lateral 1</t>
  </si>
  <si>
    <t>área tirada em cad</t>
  </si>
  <si>
    <t>ÁREA</t>
  </si>
  <si>
    <t>área do chapisco - área do emboço = área do reboco</t>
  </si>
  <si>
    <t xml:space="preserve">m2  </t>
  </si>
  <si>
    <t>INSTALAÇÕES HIDRO-SANITÁRIAS</t>
  </si>
  <si>
    <t>APARELHOS HIDRO-SANITÁRIOS</t>
  </si>
  <si>
    <t>COMPOSIÇÃO 03</t>
  </si>
  <si>
    <t>01.01</t>
  </si>
  <si>
    <t>COMP.</t>
  </si>
  <si>
    <r>
      <rPr>
        <b/>
        <sz val="10"/>
        <rFont val="Arial Narrow"/>
        <family val="2"/>
      </rPr>
      <t xml:space="preserve">PROPRIETÁRIO: </t>
    </r>
    <r>
      <rPr>
        <sz val="10"/>
        <rFont val="Arial Narrow"/>
        <family val="2"/>
      </rPr>
      <t xml:space="preserve">PREFEITURA MUNICIPAL DE SÃO MATEUS </t>
    </r>
  </si>
  <si>
    <t>janela 1</t>
  </si>
  <si>
    <t>janela 2</t>
  </si>
  <si>
    <t>sala 03</t>
  </si>
  <si>
    <t>Sub-Total</t>
  </si>
  <si>
    <t>Mão-de-Obra</t>
  </si>
  <si>
    <t>H</t>
  </si>
  <si>
    <t xml:space="preserve">Sub-Total : </t>
  </si>
  <si>
    <t>Materiais</t>
  </si>
  <si>
    <t xml:space="preserve">Discriminação </t>
  </si>
  <si>
    <t xml:space="preserve">Taxa (%) </t>
  </si>
  <si>
    <t>Valores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</si>
  <si>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</si>
  <si>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</si>
  <si>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</si>
  <si>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</si>
  <si>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</si>
  <si>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</si>
  <si>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</si>
  <si>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PERÍMETRO</t>
  </si>
  <si>
    <t>SERVIÇOS COMPLEMENTARES INTERIORES</t>
  </si>
  <si>
    <t>Lavátorio de canto Coleção Master - ref. L76 marca de ref. Deca ou equivalente, inclusive válvula, sifão e engates cromados, exclusive torneira,para PNE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</si>
  <si>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</si>
  <si>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</si>
  <si>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</si>
  <si>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</si>
  <si>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</si>
  <si>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</si>
  <si>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</si>
  <si>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</si>
  <si>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 xml:space="preserve">Sub-Total :  </t>
  </si>
  <si>
    <t>Mão-de-Obra (A) - Encargos desonerados</t>
  </si>
  <si>
    <t>*OBS: Não foi adotado BDI nesta composição</t>
  </si>
  <si>
    <t>Ø</t>
  </si>
  <si>
    <t>KG/M</t>
  </si>
  <si>
    <t>VEZES</t>
  </si>
  <si>
    <t>pilares</t>
  </si>
  <si>
    <t xml:space="preserve"> LADOS</t>
  </si>
  <si>
    <t xml:space="preserve">
</t>
  </si>
  <si>
    <t>parede lateral 2 (área tirada em cad)</t>
  </si>
  <si>
    <t>sala 04</t>
  </si>
  <si>
    <t>sala 05</t>
  </si>
  <si>
    <t>parede fundos</t>
  </si>
  <si>
    <t>Demolição de piso revestido com cerâmica inclusive lastro de concreto</t>
  </si>
  <si>
    <t>RESUMO:</t>
  </si>
  <si>
    <t>DEMOLICAO DE ALVENARIA DE TIJOLOS FURADOS S/REAPROVEITAMENTO</t>
  </si>
  <si>
    <t>73899/002</t>
  </si>
  <si>
    <t>RETIRADA DE TELHAS ONDULADAS</t>
  </si>
  <si>
    <t>74220/001</t>
  </si>
  <si>
    <t>74209/001</t>
  </si>
  <si>
    <t>74210/001</t>
  </si>
  <si>
    <t>TAPUME DE CHAPA DE MADEIRA COMPENSADA, E= 6MM, COM PINTURA A CAL E REAPROVEITAMENTO DE 2X</t>
  </si>
  <si>
    <t>PLACA DE OBRA EM CHAPA DE ACO GALVANIZADO</t>
  </si>
  <si>
    <t>BARRACAO PARA DEPOSITO EM TABUAS DE MADEIRA, COBERTURA EM FIBROCIMENTO 4 MM, INCLUSO PISO ARGAMASSA TRAÇO 1:6 (CIMENTO E AREIA)</t>
  </si>
  <si>
    <t>Proteção em volta da obra (perímetro tirado em cad), altura adotada 2,20m</t>
  </si>
  <si>
    <t>ESCAVACAO MANUAL DE VALAS EM TERRA COMPACTA, PROF. 2 M &lt; H &lt;= 3 M</t>
  </si>
  <si>
    <t>REATERRO APILOADO EM CAMADAS 0,20M, UTILIZANDO MATERIAL ARGILO-ARENOSOADQUIRIDO EM JAZIDA, JÁ CONSIDERANDO UM ACRÉSCIMO DE 25% NO VOLUME DO MATERIAL ADQUIRIDO, NÃO CONSIDERANDO O TRANSPORTE ATÉ O REATERRO</t>
  </si>
  <si>
    <t>74138/003</t>
  </si>
  <si>
    <t>74254/002</t>
  </si>
  <si>
    <t>73942/002</t>
  </si>
  <si>
    <t>ARMACAO ACO CA-50, DIAM. 6,3 (1/4) À 12,5MM(1/2) -FORNECIMENTO/ CORTE(PERDA DE 10%) / DOBRA / COLOCAÇÃO.</t>
  </si>
  <si>
    <t>ARMACAO DE ACO CA-60 DIAM. 3,4 A 6,0MM.- FORNECIMENTO / CORTE (C/PERDA DE 10%) / DOBRA / COLOCAÇÃO.</t>
  </si>
  <si>
    <t>CONCRETO USINADO BOMBEADO FCK=25MPA, INCLUSIVE LANCAMENTO E ADENSAMENTO</t>
  </si>
  <si>
    <t>CONCRETO NAO ESTRUTURAL, CONSUMO 210KG/M3, PREPARO COM BETONEIRA, SEM LANCAMENTO</t>
  </si>
  <si>
    <t>FORMA TABUA PARA CONCRETO EM FUNDACAO C/ REAPROVEITAMENTO 5X</t>
  </si>
  <si>
    <t>74200/001</t>
  </si>
  <si>
    <t>VERGA 10X10CM EM CONCRETO PRÉ-MOLDADO FCK=20MPA (PREPARO COM BETONEIRA) AÇO CA60, BITOLA FINA, INCLUSIVE FORMAS TABUA 3A.</t>
  </si>
  <si>
    <t>74067/001</t>
  </si>
  <si>
    <t>JANELA DE CORRER EM ALUMINIO, COM QUATRO FOLHAS PARA VIDRO, DUAS FIXAS E DUAS MOVEIS, INCLUSO GUARNICAO E VIDRO LISO INCOLOR</t>
  </si>
  <si>
    <t>REVESTIMENTO CERÂMICO PARA PISO COM PLACAS TIPO GRÊS DE DIMENSÕES 35X35 CM APLICADA EM AMBIENTES DE ÁREA MENOR QUE 5 M2. AF_06/2014</t>
  </si>
  <si>
    <t>SOLEIRA DE MARMORE BRANCO, LARGURA 15CM, ESPESSURA 3CM, ASSENTADA SOBRE ARGAMASSA TRACO 1:4 (CIMENTO E AREIA)</t>
  </si>
  <si>
    <t>PEITORIL EM MARMORE BRANCO, LARGURA DE 15CM, ASSENTADO COM ARGAMASSA TRACO 1:4 (CIMENTO E AREIA MEDIA), PREPARO MANUAL DA ARGAMASSA</t>
  </si>
  <si>
    <t>RODAPÉ CERÂMICO DE 7CM DE ALTURA COM PLACAS TIPO GRÊS DE DIMENSÕES 35X35CM. AF_06/2014</t>
  </si>
  <si>
    <t>74245/001</t>
  </si>
  <si>
    <t>PINTURA ACRILICA EM PISO CIMENTADO DUAS DEMAOS</t>
  </si>
  <si>
    <t>APLICAÇÃO DE FUNDO SELADOR LÁTEX PVA EM PAREDES, UMA DEMÃO. AF_06/2014</t>
  </si>
  <si>
    <t>APLICAÇÃO DE FUNDO SELADOR ACRÍLICO EM PAREDES, UMA DEMÃO. AF_06/2014</t>
  </si>
  <si>
    <t>APLICAÇÃO MANUAL DE PINTURA COM TINTA LÁTEX PVA EM PAREDES, DUAS DEMÃOS. AF_06/2014</t>
  </si>
  <si>
    <t>APLICAÇÃO MANUAL DE PINTURA COM TINTA LÁTEX ACRÍLICA EM PAREDES, DUAS DEMÃOS. AF_06/2014</t>
  </si>
  <si>
    <t>74103/001</t>
  </si>
  <si>
    <t>LIMPEZA FINAL DA OBRA</t>
  </si>
  <si>
    <t>ESCADA TIPO MARINHEIRO EM ACO CA-50 12,5", INCLUSO PINTURA COM FUNDO ANTICORROSIVO TIPO ZARCAO</t>
  </si>
  <si>
    <t>74058/002</t>
  </si>
  <si>
    <t>74175/001</t>
  </si>
  <si>
    <t>TUBO, PVC, SOLDÁVEL, DN 25MM, INSTALADO EM PRUMADA DE ÁGUA FORNECIMENTO E INSTALAÇÃO. AF_12/2014_P</t>
  </si>
  <si>
    <t>JOELHO 90 GRAUS, PVC, SOLDÁVEL, DN 25MM, INSTALADO EM RAMAL OU SUB-RAMAL DE ÁGUA FORNECIMENTO E INSTALAÇÃO . AF_12/2014_P</t>
  </si>
  <si>
    <t>ADAPTADOR CURTO COM BOLSA E ROSCA PARA REGISTRO, PVC, SOLDÁVEL, DN 25MM X 3/4, INSTALADO EM RAMAL OU SUB-RAMAL DE ÁGUA FORNECIMENTO E INSTALAÇÃO. AF_12/2014_P</t>
  </si>
  <si>
    <t>REGISTRO DE GAVETA BRUTO, LATÃO, ROSCÁVEL, 3/4, FORNECIDO E INSTALADO EM RAMAL DE ÁGUA. AF_12/2014</t>
  </si>
  <si>
    <t>ADAPTADOR PVC SOLDAVEL COM FLANGES E ANEL PARA CAIXA D'AGUA 25MMX3/4" - FORNECIMENTO E INSTALACAO</t>
  </si>
  <si>
    <t>TORNEIRA DE BOIA VAZAO TOTAL 3/4 COM BALAO PLASTICO - FORNECIMENTO E INSTALACAO</t>
  </si>
  <si>
    <t>ADAPTADOR PVC SOLDAVEL COM FLANGES E ANEL PARA CAIXA D'AGUA 32MMX1" - FORNECIMENTO E INSTALACAO</t>
  </si>
  <si>
    <t>TUBO, PVC, SOLDÁVEL, DN 32MM, INSTALADO EM PRUMADA DE ÁGUA FORNECIMENTO E INSTALAÇÃO. AF_12/2014_P</t>
  </si>
  <si>
    <t>JOELHO 90 GRAUS, PVC, SOLDÁVEL, DN 32MM, INSTALADO EM RAMAL OU SUB-RAMAL DE ÁGUA FORNECIMENTO E INSTALAÇÃO . AF_12/2014_P</t>
  </si>
  <si>
    <t>REGISTRO GAVETA 1" COM CANOPLA ACABAMENTO CROMADO SIMPLES - FORNECIMENTO E INSTALACAO</t>
  </si>
  <si>
    <t>TÊ DE REDUÇÃO, PVC, SOLDÁVEL, DN 32MM X 25MM, INSTALADO EM RAMAL OU SUB-RAMAL DE ÁGUA FORNECIMENTO E INSTALAÇÃO. AF_12/2014_P</t>
  </si>
  <si>
    <t>TUBO, PVC, SOLDÁVEL, DN 32MM, INSTALADO EM RAMAL OU SUB-RAMAL DE ÁGUA FORNECIMENTO E INSTALAÇÃO . AF_12/2014_P</t>
  </si>
  <si>
    <t>TUBO, PVC, SOLDÁVEL, DN 25MM, INSTALADO EM RAMAL OU SUB-RAMAL DE ÁGUA FORNECIMENTO E INSTALAÇÃO . AF_12/2014_P</t>
  </si>
  <si>
    <t>JOELHO 45 GRAUS, PVC, SOLDÁVEL, DN 32MM, INSTALADO EM RAMAL OU SUB-RAMAL DE ÁGUA FORNECIMENTO E INSTALAÇÃO . AF_12/2014_P</t>
  </si>
  <si>
    <t>TUBO PVC, SERIE NORMAL, ESGOTO PREDIAL, DN 100 MM, FORNECIDO E INSTALADO EM RAMAL DE DESCARGA OU RAMAL DE ESGOTO SANITÁRIO. AF_12/2014_P</t>
  </si>
  <si>
    <t>JOELHO 90 GRAUS, PVC, SERIE NORMAL, ESGOTO PREDIAL, DN 100 MM, JUNTA ELÁSTICA, FORNECIDO E INSTALADO EM RAMAL DE DESCARGA OU RAMAL DE ESGOTO SANITÁRIO. AF_12/2014</t>
  </si>
  <si>
    <t>CAP PVC ESGOTO 100MM (TAMPÃO) - FORNECIMENTO E INSTALAÇÃO</t>
  </si>
  <si>
    <t>JUNÇÃO SIMPLES, PVC, SERIE NORMAL, ESGOTO PREDIAL, DN 100 X 100 MM, JUNTA ELÁSTICA, FORNECIDO E INSTALADO EM RAMAL DE DESCARGA OU RAMAL DE ESGOTO SANITÁRIO. AF_12/2014</t>
  </si>
  <si>
    <t>TUBO PVC, SERIE NORMAL, ESGOTO PREDIAL, DN 40 MM, FORNECIDO E INSTALADO EM RAMAL DE DESCARGA OU RAMAL DE ESGOTO SANITÁRIO. AF_12/2014_P</t>
  </si>
  <si>
    <t>JOELHO 90 GRAUS, PVC, SERIE NORMAL, ESGOTO PREDIAL, DN 40 MM, JUNTA SOLDÁVEL, FORNECIDO E INSTALADO EM RAMAL DE DESCARGA OU RAMAL DE ESGOTO SANITÁRIO. AF_12/2014_P</t>
  </si>
  <si>
    <t>JOELHO 45 GRAUS, PVC, SERIE NORMAL, ESGOTO PREDIAL, DN 40 MM, JUNTA SOLDÁVEL, FORNECIDO E INSTALADO EM RAMAL DE DESCARGA OU RAMAL DE ESGOTO SANITÁRIO. AF_12/2014_P</t>
  </si>
  <si>
    <t>CAIXA SIFONADA, PVC, DN 100 X 100 X 50 MM, JUNTA ELÁSTICA, FORNECIDA E INSTALADA EM RAMAL DE DESCARGA OU EM RAMAL DE ESGOTO SANITÁRIO. AF_12/2014_P</t>
  </si>
  <si>
    <t>ENCANADOR OU BOMBEIRO HIDRÁULICO COM ENCARGOS COMPLEMENTARES</t>
  </si>
  <si>
    <t>AUXILIAR DE ENCANADOR OU BOMBEIRO HIDRÁULICO COM ENCARGOS COMPLEMENTARES</t>
  </si>
  <si>
    <t>SINAPI 88248</t>
  </si>
  <si>
    <t>SINAPI 88267</t>
  </si>
  <si>
    <t>CAIXA D'AGUA EM POLIETILENO 500 LITROS, COM TAMPA</t>
  </si>
  <si>
    <t>UND</t>
  </si>
  <si>
    <t>DUCHA HIGIENICA COM MANGUEIRA PLASTICA E REGISTRO 1/2 - LINHA POPULAR</t>
  </si>
  <si>
    <t>SINAPI 01370</t>
  </si>
  <si>
    <t>*Como referência foi utilizado o item 170304 do IOPES</t>
  </si>
  <si>
    <t>14.05</t>
  </si>
  <si>
    <t>Conforme Projeto Hidro-Sanitário</t>
  </si>
  <si>
    <t>ADAPTADOR CURTO COM BOLSA E ROSCA PARA REGISTRO, PVC, SOLDÁVEL, DN 32MM X 1, INSTALADO EM RAMAL OU SUB-RAMAL DE ÁGUA FORNECIMENTO E INSTALAÇÃO. AF_12/2014_P</t>
  </si>
  <si>
    <t>ELETRODUTO DE ACO GALVANIZADO ELETROLITICO DN 40MM (1 1/2"), TIPO SEMI -PESADO, INCLUSIVE CONEXOES - FORNECIMENTO E INSTALACAO</t>
  </si>
  <si>
    <t xml:space="preserve">CAIXA DE PASSAGEM 80X80X62 FUNDO BRITA COM TAMPA </t>
  </si>
  <si>
    <t xml:space="preserve">CABO DE COBRE NU 25MM2 - FORNECIMENTO E INSTALACAO </t>
  </si>
  <si>
    <t xml:space="preserve">HASTE COPPERWELD 5/8 X 3,0M COM CONECTOR </t>
  </si>
  <si>
    <t>74131/006</t>
  </si>
  <si>
    <t>73953/006</t>
  </si>
  <si>
    <t>73953/002</t>
  </si>
  <si>
    <t>LUMINARIA TIPO CALHA, DE SOBREPOR, COM REATOR DE PARTIDA RAPIDA E LAMPADA FLUORESCENTE 2X20W, COMPLETA, FORNECIMENTO E INSTALACAO</t>
  </si>
  <si>
    <t>LUMINARIA FECHADA PARA ILUMINACAO PUBLICA COM REATOR DE PARTIDA RAPIDA COM LAMPADA A VAPOR DE MERCURIO 250W - FORNECIMENTO E INSTALACAO</t>
  </si>
  <si>
    <t>ELETRODUTO DE PVC FLEXIVEL CORRUGADO DN 25MM (1") FORNECIMENTO E INSTALACAO</t>
  </si>
  <si>
    <t>73861/004</t>
  </si>
  <si>
    <t>CONDULETE 1/2" EM LIGA DE ALUMÍNIO FUNDIDO TIPO "C" - FORNECIMENTO E INSTALACAO</t>
  </si>
  <si>
    <t>73860/008</t>
  </si>
  <si>
    <t>CABO DE COBRE ISOLADO PVC 450/750V 2,5MM2 RESISTENTE A CHAMA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</si>
  <si>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</si>
  <si>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</si>
  <si>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SIMPLES DE EMBUTIR 10A/250V 3 TECLAS, COM PLACA - FORNECIMENTO E INSTALACAO</t>
  </si>
  <si>
    <t>INTERRUPTOR BIPOLAR DE EMBUTIR 20A/250V, TECLA DUPLA C/ PLACA- FORNECIMENTO E INSTALACAO</t>
  </si>
  <si>
    <t xml:space="preserve">TOMADA DE EMBUTIR 2P+T 20A/250V C/ PLACA - FORNECIMENTO E INSTALACAO </t>
  </si>
  <si>
    <t>CAIXA DE PASSAGEM PVC 4X4" - FORNECIMENTO E INSTALACAO</t>
  </si>
  <si>
    <t>CAIXA DE PASSAGEM PVC 4X2" - FORNECIMENTO E INSTALACAO</t>
  </si>
  <si>
    <t>CAIXA DE PASSGEM 50X50X60 FUNDO BRITA C/ TAMPA</t>
  </si>
  <si>
    <t>CAIXA DE PASSAGEM 80X80X62 FUNDO BRITA COM TAMPA</t>
  </si>
  <si>
    <t>CABO DE COBRE NU 70MM2 - FORNECIMENTO E INSTALACAO</t>
  </si>
  <si>
    <t>74253/001</t>
  </si>
  <si>
    <t>Retirada de pontos elétricos (luminárias, interruptores e tomadas)</t>
  </si>
  <si>
    <t>CABO DE COBRE ISOLAMENTO TERMOPLASTICO 0,6/1KV 70MM2 ANTI-CHAMA - FORNECIMENTO E INSTALACAO</t>
  </si>
  <si>
    <t>CONECTOR DE PARAFUSO FENDIDO EM LIGA DE COBRE COM SEPARADOR DE CABOS PARA CABO 50 MM2 - FORNECIMENTO E INSTALACAO</t>
  </si>
  <si>
    <t>TERMINAL OU CONECTOR DE PRESSAO - PARA CABO 25MM2 - FORNECIMENTO E INSTALACAO</t>
  </si>
  <si>
    <t>Padrão de entrada de energia elétrica, trifásico, entrada aérea, a 4 fios, carga instalada de 34001 até 41000W, instalada em muro</t>
  </si>
  <si>
    <t>Interruptor de uma tecla simples 10A/250V e uma tomada 2 polos 10A/250V, padrão brasileiro, NBR 14136, linha branca, com placa 4x2"</t>
  </si>
  <si>
    <t>EXTINTOR DE CO2 6KG - FORNECIMENTO E INSTALACAO</t>
  </si>
  <si>
    <t>CONECTOR DE PARAFUSO FENDIDO EM LIGA DE COBRE COM SEPARADOR DE
CABOS PARA CABO 25 MM2 - FORNECIMENTO E INSTALACAO</t>
  </si>
  <si>
    <t>COMPOSIÇÃO 05</t>
  </si>
  <si>
    <t>INTERRUPTOR PARALELO DE EMBUTIR 10A/250V 1 TECLA, SEM PLACA - FORNECIMENTO E INSTALACAO</t>
  </si>
  <si>
    <t>PREFEITURA MUNICIPAL DE SÃO MATEUS
Estado do Espírito Santo
Secretaria de Educação
Setor de Manutenção</t>
  </si>
  <si>
    <t>Conforme Projeto Elétrico</t>
  </si>
  <si>
    <t>QUADRO DE DISTRIBUICAO DE ENERGIA DE EMBUTIR, EM CHAPA METALICA, PARA 32 DISJUNTORES TERMOMAGNETICOS MONOPOLARES, COM BARRAMENTO TRIFASICO E NEUTRO, FORNECIMENTO E INSTALACAO</t>
  </si>
  <si>
    <t>LUMINARIA TIPO CALHA, DE SOBREPOR, COM REATOR DE PARTIDA RAPIDA E LAMPADA FLUORESCENTE 2X40W, COMPLETA, FORNECIMENTO E INSTALACAO</t>
  </si>
  <si>
    <t>TOMADA DE EMBUTIR 2P+T 10A/250V C/ PLACA - FORNECIMENTO E INSTALACAO</t>
  </si>
  <si>
    <t>ESPELHO PLASTICO 4X4" - FORNECIMENTO E INSTALACAO</t>
  </si>
  <si>
    <t>RAMAL PREDIAL EM TUBO PEAD 20MM - FORNECIMENTO, INSTALAÇÃO, ESCAVAÇÃO E REATERRO</t>
  </si>
  <si>
    <t>LOCACAO CONVENCIONAL DE OBRA, ATRAVÉS DE GABARITO DE TABUAS CORRIDAS PONTALETADAS, COM REAPROVEITAMENTO DE 10 VEZES.</t>
  </si>
  <si>
    <t>74077/002</t>
  </si>
  <si>
    <t>74088/001</t>
  </si>
  <si>
    <t xml:space="preserve">TELHAMENTO COM TELHA DE FIBROCIMENTO ONDULADA, ESPESSURA 6MM, INCLUSO JUNTAS DE VEDACAO E ACESSORIOS DE FIXACAO, EXCLUINDO MADEIRAMENTO </t>
  </si>
  <si>
    <t>RUFO EM CHAPA DE ACO GALVANIZADO NUMERO 24, DESENVOLVIMENTO DE 25CM</t>
  </si>
  <si>
    <t>Reboco tipo paulista de argamassa de cimento, cal hidratada CH1 e areia média ou grossa lavada no traço 1:0.5:6, espessura 25 mm</t>
  </si>
  <si>
    <t>EMBOÇO, PARA RECEBIMENTO DE CERÂMICA, EM ARGAMASSA TRAÇO 1:2:8, PREPARO MANUAL, APLICADO MANUALMENTE EM FACES INTERNAS DE PAREDES DE AMBIENTES COM ÁREA ENTRE 5M2 E 10M2, ESPESSURA DE 20MM, COM EXECUÇÃO DE TALISCAS. AF_06/2014</t>
  </si>
  <si>
    <t>Lastro de concreto não estrutural, espessura de 6 cm</t>
  </si>
  <si>
    <t>CONTRAPISO EM ARGAMASSA TRAÇO 1:4 (CIMENTO E AREIA), PREPARO MANUAL, APLICADO EM ÁREAS MOLHADAS SOBRE LAJE, ADERIDO, ESPESSURA 3CM, ACABAMENTO NÃO REFORÇADO. AF_06/2014</t>
  </si>
  <si>
    <t>PINTURA ESMALTE FOSCO EM MADEIRA, DUAS DEMAOS (PARA ESQUADRIAS DE MADEIRA )</t>
  </si>
  <si>
    <t>PINTURA ESMALTE ACETINADO EM MADEIRA, DUAS DEMAOS</t>
  </si>
  <si>
    <t>73739/001</t>
  </si>
  <si>
    <t>COEFICIENTE</t>
  </si>
  <si>
    <t>PORTA</t>
  </si>
  <si>
    <t xml:space="preserve">QUANT. </t>
  </si>
  <si>
    <t>LOCAL (considerando o lado de dentro e o lado de fora da esquadria)</t>
  </si>
  <si>
    <t>SALA 04</t>
  </si>
  <si>
    <t>SALA 05</t>
  </si>
  <si>
    <t>COMPR./ 2P</t>
  </si>
  <si>
    <t>área de serviço</t>
  </si>
  <si>
    <t>APLICAÇÃO MANUAL DE PINTURA COM TINTA LÁTEX PVA EM TETO, DUAS DEMÃOS. AF_06/2014</t>
  </si>
  <si>
    <t>CONTRAPISO EM ARGAMASSA TRAÇO 1:4 (CIMENTO E AREIA), PREPARO MANUAL, APLICADO EM ÁREAS SECAS MAIORES QUE 10M2 SOBRE LAJE, ADERIDO, ESPESSURA 3CM, ACABAMENTO NÃO REFORÇADO. AF_06/2014</t>
  </si>
  <si>
    <t>73910/010</t>
  </si>
  <si>
    <t>PORTA DE MADEIRA COMPENSADA LISA PARA PINTURA, 90X210X3,5CM, INCLUSO ADUELA 2A, ALIZAR 2A E DOBRADICAS</t>
  </si>
  <si>
    <t>74069/001</t>
  </si>
  <si>
    <t>FECHADURA DE EMBUTIR COMPLETA, PARA PORTAS DE BANHEIRO, PADRAO DE ACABAMENTO POPULAR</t>
  </si>
  <si>
    <t>74068/002</t>
  </si>
  <si>
    <t>FECHADURA DE EMBUTIR COMPLETA, PARA PORTAS EXTERNAS, PADRAO DE ACABAMENTO POPULAR</t>
  </si>
  <si>
    <t>Dispenser de plástico ABS branco para sabonete líquido, marcas de referência JSN, Iramax, Sólimp ou equivalente, com reservatório, fixado com parafusos e buchas</t>
  </si>
  <si>
    <t>Papeleira de louça branca, 15x15cm, marcas de referência Deca, Celite ou Ideal Standard.</t>
  </si>
  <si>
    <t xml:space="preserve">INSTALAÇÕES E APARELHOS ELÉTRICOS </t>
  </si>
  <si>
    <r>
      <rPr>
        <b/>
        <sz val="10"/>
        <rFont val="Arial Narrow"/>
        <family val="2"/>
      </rPr>
      <t xml:space="preserve">OBRA: </t>
    </r>
    <r>
      <rPr>
        <sz val="10"/>
        <rFont val="Arial Narrow"/>
        <family val="2"/>
      </rPr>
      <t xml:space="preserve"> REFORMA E AMPLIAÇÃO CEIM SÃO PEDRO</t>
    </r>
  </si>
  <si>
    <r>
      <t xml:space="preserve">LOCAL: </t>
    </r>
    <r>
      <rPr>
        <sz val="10"/>
        <rFont val="Arial Narrow"/>
        <family val="2"/>
      </rPr>
      <t>RUA COPA 70, Nº 977, BAIRRO: SÃO PEDRO, SÃO MATEUS-ES.</t>
    </r>
  </si>
  <si>
    <t>73896/001</t>
  </si>
  <si>
    <t>RETIRADA CUIDADOSA DE AZULEJOS/LADRILHOS E ARGAMASSA DE ASSENTAMENTO</t>
  </si>
  <si>
    <t xml:space="preserve">RETIRADA DE APARELHOS SANITARIOS </t>
  </si>
  <si>
    <t>73910/005</t>
  </si>
  <si>
    <t>PORTA DE MADEIRA COMPENSADA LISA PARA PINTURA, 80X210X3,5CM, INCLUSO ADUELA 2A, ALIZAR 2A E DOBRADICAS</t>
  </si>
  <si>
    <t>ESTRUTURA DE MADEIRA DE LEI PRIMEIRA QUALIDADE, SERRADA, NAO APARELHADA, PARA TELHAS ONDULADAS, VAOS DE 10M ATE 13M</t>
  </si>
  <si>
    <t>VASO SANITARIO INFANTIL SIFONADO, PARA VALVULA DE DESCARGA, EM LOUCA BRANCA, COM ACESSORIOS, INCLUSIVE ASSENTO PLASTICO, BOLSA DE BORRACHA PARA LIGACAO, TUBO PVC LIGACAO - FORNECIMENTO E INSTALACAO</t>
  </si>
  <si>
    <t>área dos banheiros que vão ser demolidos</t>
  </si>
  <si>
    <t>banheiros</t>
  </si>
  <si>
    <t>área ampliada (área tirada em cad)</t>
  </si>
  <si>
    <t>banheiro à ser demolido</t>
  </si>
  <si>
    <t>Bacia sanitária</t>
  </si>
  <si>
    <t>chuveiro</t>
  </si>
  <si>
    <t>banheiro à ser demolido (infantil)</t>
  </si>
  <si>
    <t>Isolando acesso ao lado da área de serviço para os fundos</t>
  </si>
  <si>
    <t xml:space="preserve">Fechando o acesso que dá no corredor dos banheiros </t>
  </si>
  <si>
    <t>BRINQUEDOTECA</t>
  </si>
  <si>
    <t>SANIT. FEMININO</t>
  </si>
  <si>
    <t>SANIT. MASCULINO</t>
  </si>
  <si>
    <t>báscula</t>
  </si>
  <si>
    <t>SANIT. PNE</t>
  </si>
  <si>
    <t>ARMÁRIO</t>
  </si>
  <si>
    <t>escovódromo</t>
  </si>
  <si>
    <t>ESCOVÓDROMO</t>
  </si>
  <si>
    <t xml:space="preserve">parede frente </t>
  </si>
  <si>
    <t>parede lateral 1 (área tirada em cad)</t>
  </si>
  <si>
    <t>parede frente</t>
  </si>
  <si>
    <t>SANIT. FEMININO E MASCULINO</t>
  </si>
  <si>
    <t>parede frente + parede lateral</t>
  </si>
  <si>
    <t>parede lateral</t>
  </si>
  <si>
    <t>PAREDE DO FUNDO</t>
  </si>
  <si>
    <t>BASE DE ALVENARIA</t>
  </si>
  <si>
    <t>Conforme projeto arquitetônico: 01 unidade (brinquedoteca)</t>
  </si>
  <si>
    <t xml:space="preserve">JANELA BASCULANTE DE ALUMINIO </t>
  </si>
  <si>
    <t>Janela de correr para vidro em alumínio anodizado cor natural, linha 25, completa, incl. puxador com tranca, alizar, caixilho e contramarco, exclusive vidro</t>
  </si>
  <si>
    <t>VIDRO LISO COMUM TRANSPARENTE, ESPESSURA 3MM</t>
  </si>
  <si>
    <t>comprimento tirado em cad</t>
  </si>
  <si>
    <t>brinquedoteca</t>
  </si>
  <si>
    <t xml:space="preserve">circulação </t>
  </si>
  <si>
    <t xml:space="preserve">SANIT. FEMININO </t>
  </si>
  <si>
    <t>circulação (parte nova)</t>
  </si>
  <si>
    <t>sala 01</t>
  </si>
  <si>
    <t>sala 02</t>
  </si>
  <si>
    <t>arquivo</t>
  </si>
  <si>
    <t>arquivo (por dentro e por fora)</t>
  </si>
  <si>
    <t xml:space="preserve">circulação da escola </t>
  </si>
  <si>
    <t>em volta dos pilares</t>
  </si>
  <si>
    <t>CHUVEIRO ELETRICO COMUM CORPO PLASTICO TIPO DUCHA, FORNECIMENTO E INSTALACAO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</si>
  <si>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</si>
  <si>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DIVISORIA EM GRANITO BRANCO POLIDO, ESP = 3CM, ASSENTADO COM ARGAMASSA TRACO 1:4, ARREMATE EM CIMENTO BRANCO, EXCLUSIVE FERRAGENS</t>
  </si>
  <si>
    <t>varanda ao redor das sala 01, 02, 03 e 04 - área tirada em cad</t>
  </si>
  <si>
    <t>ao redor do arquivo - área tirada em cad</t>
  </si>
  <si>
    <t>circulação (parte nova) - área tirada em cad</t>
  </si>
  <si>
    <t>dois telhadinhos da circulação descoberta  - área tirada em cad</t>
  </si>
  <si>
    <t>pilares de madeira (área de serviço e ao redor do arquivo)</t>
  </si>
  <si>
    <t>ESTRUTURA DE MADEIRA DO TELHADO</t>
  </si>
  <si>
    <t>cozinha</t>
  </si>
  <si>
    <t>sala 06</t>
  </si>
  <si>
    <t>secretaria</t>
  </si>
  <si>
    <t>sanit. Feminino</t>
  </si>
  <si>
    <t>sanit. masculino</t>
  </si>
  <si>
    <t>sanit. PNE</t>
  </si>
  <si>
    <t>Retirada de revestimento antigo em reboco</t>
  </si>
  <si>
    <t>muro frontal (pelo lado de dentro da escola)</t>
  </si>
  <si>
    <t>solário</t>
  </si>
  <si>
    <t>área ao redor das sala 01, 02, 03 e 04</t>
  </si>
  <si>
    <t>circulação (em frente as sala 05 e 06)</t>
  </si>
  <si>
    <t>circulação (área nova)</t>
  </si>
  <si>
    <t>circulação</t>
  </si>
  <si>
    <t>área do escovódromo</t>
  </si>
  <si>
    <t>RETIRADA DE FOLHAS DE PORTA DE PASSAGEM OU JANELA</t>
  </si>
  <si>
    <t xml:space="preserve">RETIRADA DE BATENTES DE MADEIRA </t>
  </si>
  <si>
    <t>Retirada de grades, gradis, alambrados, cercas e portões</t>
  </si>
  <si>
    <t>sala dos professores</t>
  </si>
  <si>
    <t xml:space="preserve">sala 05 </t>
  </si>
  <si>
    <t xml:space="preserve">sala 06 </t>
  </si>
  <si>
    <t>sala dos professores (grade da janela)</t>
  </si>
  <si>
    <t>cozinha (grade da janela)</t>
  </si>
  <si>
    <t>SALA 06</t>
  </si>
  <si>
    <t>COZINHA</t>
  </si>
  <si>
    <t>SALA DOS PROFESSORES</t>
  </si>
  <si>
    <t>SALA 05 E SALA 06</t>
  </si>
  <si>
    <t>parede lateral 2</t>
  </si>
  <si>
    <t xml:space="preserve">parede lateral 3 </t>
  </si>
  <si>
    <t xml:space="preserve">parede frente + parede entre as duas salas </t>
  </si>
  <si>
    <t>janela</t>
  </si>
  <si>
    <t>Conforme projeto arquitetônico: 5 unidades (sanit. PNE, sanit. Feminino, sanit. Masculino, sala 05 e sala 06)</t>
  </si>
  <si>
    <t xml:space="preserve">parede lateral 1 </t>
  </si>
  <si>
    <t xml:space="preserve">parede lateral 2 </t>
  </si>
  <si>
    <t>parede lateral 3</t>
  </si>
  <si>
    <t>Para acesso as caixas d'águas</t>
  </si>
  <si>
    <t>área do terreno da escola</t>
  </si>
  <si>
    <t>PINTURA ESMALTE ACETINADO, DUAS DEMAOS, SOBRE SUPERFICIE METALICA</t>
  </si>
  <si>
    <t>parede fundo</t>
  </si>
  <si>
    <t xml:space="preserve">SALA 05 </t>
  </si>
  <si>
    <t>parede nova</t>
  </si>
  <si>
    <t>parede fundo (existente)</t>
  </si>
  <si>
    <t>parede lateral  (existente)</t>
  </si>
  <si>
    <t>parede lateral de fora (área tirada em cad)</t>
  </si>
  <si>
    <t>12,57 (área tirada em cad)</t>
  </si>
  <si>
    <t xml:space="preserve">parede lateral - lateral com SANIT. PNE </t>
  </si>
  <si>
    <t>PAREDE FUNDOS</t>
  </si>
  <si>
    <t>parede lateral ao escovodromo</t>
  </si>
  <si>
    <t>base de alvenaria</t>
  </si>
  <si>
    <t>BLOCO 02</t>
  </si>
  <si>
    <t>parade fundo</t>
  </si>
  <si>
    <t>área do armário de alvenaria</t>
  </si>
  <si>
    <t>prateleiras internas</t>
  </si>
  <si>
    <t>BLOCO 01</t>
  </si>
  <si>
    <t>parede lateral 2 (área de serviço)</t>
  </si>
  <si>
    <t>frente</t>
  </si>
  <si>
    <t>lateral 2</t>
  </si>
  <si>
    <t>parede que vai do bloco 1 p/ o bloco 2</t>
  </si>
  <si>
    <t>viga suspensa (frente e fundos)</t>
  </si>
  <si>
    <t>mureta da varanda (lado de dentro)</t>
  </si>
  <si>
    <t>mureta da varanda (lado de fora fora)</t>
  </si>
  <si>
    <t>viga da mureta</t>
  </si>
  <si>
    <t>requadro + pilares da mureta</t>
  </si>
  <si>
    <t>ARQUIVO</t>
  </si>
  <si>
    <t>MURO</t>
  </si>
  <si>
    <t>lado 1</t>
  </si>
  <si>
    <t>fundos</t>
  </si>
  <si>
    <t>lado 2 (lado onde está a brinquedoteca)</t>
  </si>
  <si>
    <t xml:space="preserve">parede fundo </t>
  </si>
  <si>
    <t xml:space="preserve">parede lateral  </t>
  </si>
  <si>
    <t xml:space="preserve">parede lateral </t>
  </si>
  <si>
    <t>INTERNO</t>
  </si>
  <si>
    <t>EXTERNO</t>
  </si>
  <si>
    <t xml:space="preserve">parede divisa com vizinho </t>
  </si>
  <si>
    <t>no telhado das sala 01, 02, 03 e 04</t>
  </si>
  <si>
    <t>base do fundo</t>
  </si>
  <si>
    <t>ALTURA / LARGURA</t>
  </si>
  <si>
    <t>escada</t>
  </si>
  <si>
    <t>73924/002</t>
  </si>
  <si>
    <t>muro (frente)</t>
  </si>
  <si>
    <t>grades (comprimento tirado em cad)</t>
  </si>
  <si>
    <t>portão de correr</t>
  </si>
  <si>
    <t>muro (fundos)</t>
  </si>
  <si>
    <t>portão de pedestre</t>
  </si>
  <si>
    <t>CORRIMAO EM TUBO ACO GALVANIZADO 3/4" COM BRACADEIRA</t>
  </si>
  <si>
    <t>74072/001</t>
  </si>
  <si>
    <t>rampa</t>
  </si>
  <si>
    <t>RAMPA</t>
  </si>
  <si>
    <t>base</t>
  </si>
  <si>
    <t>mureta</t>
  </si>
  <si>
    <t>platibanda</t>
  </si>
  <si>
    <t>PLATIBANDA</t>
  </si>
  <si>
    <t>medidas tiradas no local</t>
  </si>
  <si>
    <t>em volta da rampa</t>
  </si>
  <si>
    <t>ALTURA/ LARGURA</t>
  </si>
  <si>
    <t>ALVENARIA DE VEDAÇÃO DE BLOCOS CERÂMICOS FURADOS NA VERTICAL DE 9X19X39CM (ESPESSURA 9CM) DE PAREDES COM ÁREA LÍQUIDA MAIOR OU IGUAL A 6M² COM VÃOS E ARGAMASSA DE ASSENTAMENTO COM PREPARO MANUAL. AF_06/2014</t>
  </si>
  <si>
    <t>SALA 05 (revestir a parede nova)</t>
  </si>
  <si>
    <t>SALA 06 (revestir a parede nova)</t>
  </si>
  <si>
    <t xml:space="preserve">Conforme projeto arquitetônico:  3 unidades (sanit. PNE, feminino e masculino) </t>
  </si>
  <si>
    <t xml:space="preserve">Conforme projeto arquitetônico:  3 unidades (brinquedoteca, sala 05 e sala 06) </t>
  </si>
  <si>
    <t>REVESTIMENTO CERÂMICO PARA PISO COM PLACAS TIPO GRÊS DE DIMENSÕES 35X35 CM APLICADA EM AMBIENTES DE ÁREA ENTRE 5 M2 E 10 M2. AF_06/2014</t>
  </si>
  <si>
    <t>REVESTIMENTO CERÂMICO PARA PISO COM PLACAS TIPO GRÊS DE DIMENSÕES 35X35 CM APLICADA EM AMBIENTES DE ÁREA MAIOR QUE 10 M2. AF_06/2014</t>
  </si>
  <si>
    <t>REVESTIMENTO CERÂMICO PARA PAREDES INTERNAS COM PLACAS TIPO GRÊS OU SEMI-GRÊS DE DIMENSÕES 20X20 CM APLICADAS EM AMBIENTES DE ÁREA MAIOR QUE 5 M² A MEIA ALTURA DAS PAREDES. AF_06/2014</t>
  </si>
  <si>
    <t>EMBOÇO, PARA RECEBIMENTO DE CERÂMICA, EM ARGAMASSA TRAÇO 1:2:8, PREPARO MANUAL, APLICADO MANUALMENTE EM FACES INTERNAS DE PAREDES DE AMBIENTES COM ÁREA MAIOR QUE 10M2, ESPESSURA DE 20MM, COM EXECUÇÃO DE TALISCAS. AF_06/2014</t>
  </si>
  <si>
    <t>usar mesmo tipo e tamanho do revestimento existente nas salas</t>
  </si>
  <si>
    <t>retirada de um pequeno pedaço do telhado do bloco 2, para construção de platibanda da área ampliada</t>
  </si>
  <si>
    <t>indicado em projeto</t>
  </si>
  <si>
    <t>SANIT. FEMININO (todas as paredes)</t>
  </si>
  <si>
    <t>SANIT. MASCULINO (todas as paredes)</t>
  </si>
  <si>
    <t xml:space="preserve">74079/001 </t>
  </si>
  <si>
    <t>PISO CIMENTADO TRACO 1:4 (CIMENTO E AREIA) COM ACABAMENTO LISO ESPESSURA 2,0CM COM JUNTAS PLASTICAS DE DILATACAO E PREPARO MANUAL DA ARGAMASSA</t>
  </si>
  <si>
    <t>parte da parede frente</t>
  </si>
  <si>
    <t xml:space="preserve">arquivo </t>
  </si>
  <si>
    <t>rampa (que dá acesso a ampliação)</t>
  </si>
  <si>
    <t>C</t>
  </si>
  <si>
    <t>L</t>
  </si>
  <si>
    <t>AREA</t>
  </si>
  <si>
    <t>LADOS</t>
  </si>
  <si>
    <t>QT</t>
  </si>
  <si>
    <t>SAPATAS</t>
  </si>
  <si>
    <t>S1=S14</t>
  </si>
  <si>
    <t>PILARETES</t>
  </si>
  <si>
    <t>P1=P14</t>
  </si>
  <si>
    <t>CINTAS</t>
  </si>
  <si>
    <t>TODAS</t>
  </si>
  <si>
    <t>PILARES</t>
  </si>
  <si>
    <t>VIGAS</t>
  </si>
  <si>
    <t>M²</t>
  </si>
  <si>
    <t>8mm</t>
  </si>
  <si>
    <t>QTDADE</t>
  </si>
  <si>
    <t>0,70 / 0,15</t>
  </si>
  <si>
    <t>52,28 / 0,15</t>
  </si>
  <si>
    <t>4,2mm</t>
  </si>
  <si>
    <t>3,1 / 0,15</t>
  </si>
  <si>
    <t>qtade</t>
  </si>
  <si>
    <t>FORMA PARA ESTRUTURAS DE CONCRETO (PILAR, VIGA) EM CHAPA DE MADEIRA COMPENSADA RESINADA, DE 1,10 X 2,20, ESPESSURA = 12 MM, 05 UTILIZACOES. (FABRICACAO, MONTAGEM E DESMONTAGEM)</t>
  </si>
  <si>
    <t xml:space="preserve">ESCAVAÇÃO: </t>
  </si>
  <si>
    <t xml:space="preserve">INFRA-ESTRUTURA (CONCRETO):  = </t>
  </si>
  <si>
    <t xml:space="preserve">REATERRO (ESCAVAÇÃO - ESTRUTURA): </t>
  </si>
  <si>
    <t>Conforme Projeto Hidro-Sanitário + 10%</t>
  </si>
  <si>
    <t>joelho 40mm</t>
  </si>
  <si>
    <t>UN CR 6,37</t>
  </si>
  <si>
    <t>JOELHO 90 GRAUS, PVC, SOLDÁVEL, DN 40MM, INSTALADO EM PRUMADA DE ÁGUA FORNECIMENTO E INSTALAÇÃO. AF_12/2014_P</t>
  </si>
  <si>
    <t>UN CR 4,01</t>
  </si>
  <si>
    <t>ADAPTADOR CURTO COM BOLSA E ROSCA PARA REGISTRO, PVC, SOLDÁVEL, DN 25 M X 3/4, INSTALADO EM RAMAL OU SUB-RAMAL DE ÁGUA FORNECIMENTO E INSTALAÇÃO. AF_12/2014_P</t>
  </si>
  <si>
    <t>89724 JOELHO 90 GRAUS, PVC, SERIE NORMAL, ESGOTO PREDIAL, DN 40 MM, JUNTA SO UN CR 4,79</t>
  </si>
  <si>
    <t>LDÁVEL, FORNECIDO E INSTALADO EM RAMAL DE DESCARGA OU RAMAL DE ESGOTO</t>
  </si>
  <si>
    <t>SANITÁRIO. AF_12/2014_P</t>
  </si>
  <si>
    <t>89726 JOELHO 45 GRAUS, PVC, SERIE NORMAL, ESGOTO PREDIAL, DN 40 MM, JUNTA SO UN CR 4,99</t>
  </si>
  <si>
    <t>89743 CURVA LONGA 90 GRAUS, PVC, SERIE NORMAL, ESGOTO PREDIAL, DN 75 MM, JUN UN CR 22,29</t>
  </si>
  <si>
    <t>TA ELÁSTICA, FORNECIDO E INSTALADO EM RAMAL DE DESCARGA OU RAMAL DE ES</t>
  </si>
  <si>
    <t>GOTO SANITÁRIO. AF_12/2014</t>
  </si>
  <si>
    <t>89744 JOELHO 90 GRAUS, PVC, SERIE NORMAL, ESGOTO PREDIAL, DN 100 MM, JUNTA E UN CR 14,32</t>
  </si>
  <si>
    <t>LÁSTICA, FORNECIDO E INSTALADO EM RAMAL DE DESCARGA OU RAMAL DE ESGOTO</t>
  </si>
  <si>
    <t>SANITÁRIO. AF_12/2014</t>
  </si>
  <si>
    <t>89746 JOELHO 45 GRAUS, PVC, SERIE NORMAL, ESGOTO PREDIAL, DN 100 MM, JUNTA E UN CR 13,89</t>
  </si>
  <si>
    <t>74166/001 CAIXA DE INSPEÇÃO EM CONCRETO PRÉ-MOLDADO DN 60MM COM TAMPA H= 60CM - UN AS 159,09</t>
  </si>
  <si>
    <t>FORNECIMENTO E INSTALACAO</t>
  </si>
  <si>
    <t>74166/001</t>
  </si>
  <si>
    <t>CAIXA DE INSPEÇÃO EM CONCRETO PRÉ-MOLDADO DN 60MM COM TAMPA H= 60CM - FORNECIMENTO E INSTALACAO</t>
  </si>
  <si>
    <t>novo</t>
  </si>
  <si>
    <t>89796 TE, PVC, SERIE NORMAL, ESGOTO PREDIAL, DN 100 X 100 MM, JUNTA ELÁSTICA UN CR 25,53</t>
  </si>
  <si>
    <t>, FORNECIDO E INSTALADO EM RAMAL DE DESCARGA OU RAMAL DE ESGOTO SANITÁ</t>
  </si>
  <si>
    <t>RIO. AF_12/2014</t>
  </si>
  <si>
    <t>NOVO</t>
  </si>
  <si>
    <t>TE, PVC, SERIE NORMAL, ESGOTO PREDIAL, DN 100 X 100 MM, JUNTA ELÁSTICA CR, FORNECIDO E INSTALADO EM RAMAL DE DESCARGA OU RAMAL DE ESGOTO SANITÁRIO. AF_12/2014</t>
  </si>
  <si>
    <t>74141/001 LAJE PRE-MOLD BETA 11 P/1KN/M2 VAOS 4,40M/INCL VIGOTAS TIJOLOS ARMADUR M2 CR 68,71</t>
  </si>
  <si>
    <t>A NEGATIVA CAPEAMENTO 3CM CONCRETO 20MPA ESCORAMENTO MATERIAL E MAO D</t>
  </si>
  <si>
    <t>E OBRA.</t>
  </si>
  <si>
    <t>74141/001</t>
  </si>
  <si>
    <t xml:space="preserve"> LAJE PRE-MOLD BETA 11 P/1KN/M2 VAOS 4,40M/INCL VIGOTAS TIJOLOS ARMADURA NEGATIVA CAPEAMENTO 3CM CONCRETO 20MPA ESCORAMENTO MATERIAL E MAO DE OBRA.</t>
  </si>
  <si>
    <t>escovódramo + wcs</t>
  </si>
  <si>
    <t>88503 CAIXA D´ÁGUA EM POLIETILENO, 1000 LITROS, COM ACESSÓRIOS UN CR 639,58</t>
  </si>
  <si>
    <t>Reservatório de fibra de vidro 2000L, inclusive peça de apoio 6x16 cm, exclusive flanges e torneira de bóia</t>
  </si>
  <si>
    <t>RETIRADA DE ESTRUTURA DE MADEIRA PONTALETEADA PARA TELHAS ONDULADAS</t>
  </si>
  <si>
    <t xml:space="preserve">RETIRADA DE CUMEEIRAS CERAMICAS </t>
  </si>
  <si>
    <t xml:space="preserve">varanda ao redor das salas 01, 02, 03 e 04 </t>
  </si>
  <si>
    <t>telhado que cobre as salas 01, 02, 03 e 04</t>
  </si>
  <si>
    <t>telhado do arquivo</t>
  </si>
  <si>
    <t>telhado da área de serviço</t>
  </si>
  <si>
    <t>telhado que cobre cozinha, sala 05, sala 06, sala dos professores, circulação que vai da acesso a ampliação</t>
  </si>
  <si>
    <t>telhado na circulação descoberta - 1</t>
  </si>
  <si>
    <t>telhado na circulação descoberta - 2</t>
  </si>
  <si>
    <t>varanda ao redor das salas 01, 02, 03 e 04</t>
  </si>
  <si>
    <t>tirado em cad</t>
  </si>
  <si>
    <t>bloco 1 (parte de cima)</t>
  </si>
  <si>
    <t>bloco 1 (parte de baixo)</t>
  </si>
  <si>
    <t>ESTRUTURA DE MADEIRA DE LEI PRIMEIRA QUALIDADE, SERRADA, NAO APARELHADA, PARA TELHAS ONDULADAS, VAOS ATE 7M</t>
  </si>
  <si>
    <t>ESTRUTURA DE MADEIRA DE LEI PRIMEIRA QUALIDADE, SERRADA, NAO APARELHADA, PARA TELHAS ONDULADAS, VAOS DE 13M ATE 18M</t>
  </si>
  <si>
    <t>bloco 2</t>
  </si>
  <si>
    <t>área ampliada (bloco 3)</t>
  </si>
  <si>
    <t>SALA 01</t>
  </si>
  <si>
    <t>janela 01</t>
  </si>
  <si>
    <t>janela 02</t>
  </si>
  <si>
    <t>SALA 02</t>
  </si>
  <si>
    <t>SALA 03</t>
  </si>
  <si>
    <t xml:space="preserve">RETIRADA DE FORRO DE MADEIRA EM TABUAS </t>
  </si>
  <si>
    <t>RETIRADA DE FORRO EM REGUAS DE PVC, INCLUSIVE RETIRADA DE PERFIS</t>
  </si>
  <si>
    <t xml:space="preserve">Chapisco de argamassa de cimento e areia média ou grossa lavada, no traço 1:3, espessura 5 mm </t>
  </si>
  <si>
    <t>TORNEIRA CROMADA LONGA, DE PAREDE, 1/2" OU 3/4", PARA PIA DE COZINHA, PADRÃO POPULAR - FORNECIMENTO E INSTALAÇÃO. AF_12/2013</t>
  </si>
  <si>
    <t>REMOÇÃO DE PINTURA PVA/ACRILICA</t>
  </si>
  <si>
    <t>380,21  - 5,91 - 96,95 = 277,31</t>
  </si>
  <si>
    <t>74045/001</t>
  </si>
  <si>
    <t>CUMEEIRA UNIVERSAL PARA TELHA DE FIBROCIMENTO ONDULADA ESPESSURA 6 MM, INCLUSO JUNTAS DE VEDACAO E ACESSORIOS DE FIXACAO</t>
  </si>
  <si>
    <t>CALÇADA</t>
  </si>
  <si>
    <t>73907/006</t>
  </si>
  <si>
    <t xml:space="preserve">LASTRO DE CONCRETO, ESPESSURA 3CM, PREPARO MECANICO  </t>
  </si>
  <si>
    <t>Lastro regularizado de concreto não estrutural, espessura de 8 cm</t>
  </si>
  <si>
    <t xml:space="preserve"> 73892/002</t>
  </si>
  <si>
    <t>EXECUÇÃO DE PASSEIO (CALÇADA) EM CONCRETO 12 MPA, TRAÇO 1:3:5 (CIMENTO /AREIA/BRITA), PREPARO MECÂNICO, ESPESSURA 7CM, COM JUNTA DE DILATAÇÃO</t>
  </si>
  <si>
    <t>Meio-fio de concreto pré-moldado com dimensões de 15x12x30x100 cm , rejuntados com argamassa de cimento e areia no traço 1:3</t>
  </si>
  <si>
    <t>Fornecimento e assentamento de ladrilho hidráulico pastilhado, vermelho, dim. 20x20 cm, esp. 1.5cm, assentado com pasta de cimento colante, exclusive regularização e lastro/alerta</t>
  </si>
  <si>
    <t>DEMOLICAO DE CONCRETO SIMPLES</t>
  </si>
  <si>
    <t>calçada existente</t>
  </si>
  <si>
    <t>Conforma área tirada do AutoCAD</t>
  </si>
  <si>
    <t>Àrea do ladrilho hidráulico</t>
  </si>
  <si>
    <t xml:space="preserve">Conforme comprimento retirado do AutoCAD </t>
  </si>
  <si>
    <t>Conforme comprimento retirado do AutoCAD largura de 0,20m</t>
  </si>
  <si>
    <t xml:space="preserve">Fornecimento e assentamento de ladrilho hidráulico ranhurado, vermelho, dim. 20x20 cm, esp. 1.5cm, assentado com pasta de cimento colante, exclusive regularização e lastro/direcionado </t>
  </si>
  <si>
    <t>área total de calçada, incluindo passeio cimentado e ladrilho</t>
  </si>
  <si>
    <t>COMPOSIÇÃO 01</t>
  </si>
  <si>
    <t xml:space="preserve">       3,55 a mais porque tem um lado da calçada que a altura vai ser +28 por causa do nível em que esta a escola</t>
  </si>
  <si>
    <t>COMPOSIÇÃO 02</t>
  </si>
  <si>
    <t>17.03</t>
  </si>
  <si>
    <t>PEDREIRO COM ENCARGOS COMPLEMENTARES</t>
  </si>
  <si>
    <t>SERVENTE COM ENCARGOS COMPLEMENTARES</t>
  </si>
  <si>
    <t>SINAPI 88309</t>
  </si>
  <si>
    <t>SINAPI 88316</t>
  </si>
  <si>
    <t>PORTA DE CORRER EM MADEIRA, COM QUATRO FOLHAS (CADA UMA COM 1,00 X 2,98M)</t>
  </si>
  <si>
    <t xml:space="preserve">*Como referência foi utilizado o item 68050 do SINAPI e insumo 4982 do SINAPI </t>
  </si>
  <si>
    <t>ARGAMASSA TRAÇO 1:0,5:4,5 (CIMENTO, CAL E AREIA MÉDIA), PREPARO MECÂNICO COM BETONEIRA 400 L. AF_08/2014</t>
  </si>
  <si>
    <t>M3</t>
  </si>
  <si>
    <t>SINAPI 88626</t>
  </si>
  <si>
    <t xml:space="preserve">para o armário de alvenaria que esta previsto no projeto </t>
  </si>
  <si>
    <t>APARELHOS ELÉTRICOS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</si>
  <si>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 CEIM DISTRITO DE SÃO GERALDO            </t>
    </r>
  </si>
  <si>
    <r>
      <t xml:space="preserve">LOCAL: </t>
    </r>
    <r>
      <rPr>
        <sz val="11"/>
        <rFont val="Arial Narrow"/>
        <family val="2"/>
      </rPr>
      <t>DISTRITO DE SÃO GERALDO, SÃO MATEUS-ES.</t>
    </r>
  </si>
  <si>
    <t xml:space="preserve">
DATA BASE IOPES: AGOSTO/2015 
%ENCARGOS SOCIAIS DESONERADOS INCLUSO LEIS COMPLEMENTARES:
  IOPES: 134,87%
BDI: 27,64%</t>
  </si>
  <si>
    <r>
      <t xml:space="preserve"> </t>
    </r>
    <r>
      <rPr>
        <b/>
        <sz val="10"/>
        <color rgb="FF000000"/>
        <rFont val="Arial"/>
        <family val="2"/>
      </rPr>
      <t>DEMOLIÇÕES E RETIRADAS</t>
    </r>
  </si>
  <si>
    <t>Demolição de piso cimentado inclusive lastro de concreto</t>
  </si>
  <si>
    <t xml:space="preserve">Retirada de grades, gradis, alambrados, cercas e portões </t>
  </si>
  <si>
    <t>Lixamento de parede com pintura antiga PVA para recebimento de nova camada de tinta m2 2,60</t>
  </si>
  <si>
    <t xml:space="preserve"> MOVIMENTO DE TERRA</t>
  </si>
  <si>
    <t>010206 Demolição de revestimento com azulejos m2 34,65</t>
  </si>
  <si>
    <t>Remoção de pintura antiga a base de óleo ou esmalte sobre esquadrias</t>
  </si>
  <si>
    <t xml:space="preserve"> LIMPEZA DO TERRENO</t>
  </si>
  <si>
    <t>02.00</t>
  </si>
  <si>
    <t xml:space="preserve">Raspagem e limpeza do terreno (manual) </t>
  </si>
  <si>
    <t>03.00</t>
  </si>
  <si>
    <t>ESCAVAÇÕES</t>
  </si>
  <si>
    <t xml:space="preserve">Escavação manual em material de 1a. categoria, até 1.50 m de profundidade  </t>
  </si>
  <si>
    <t xml:space="preserve">Apiloamento do fundo de vala com maço de 30 a 60kg </t>
  </si>
  <si>
    <t>REATERRO E COMPACTAÇÃO</t>
  </si>
  <si>
    <t xml:space="preserve">Reaterro apiloado de cavas de fundação, em camadas de 20 cm </t>
  </si>
  <si>
    <t>ALVENARIA DE VEDAÇÃO EMPREGANDO ARGAMASSA DE CIMENTO, CAL E AREIA</t>
  </si>
  <si>
    <t>Alvenaria de blocos cerâmicos 10 furos 10x20x20cm, assentados c/argamassa de cimento, cal hidratada</t>
  </si>
  <si>
    <t xml:space="preserve"> ESQUADRIAS METÁLICAS</t>
  </si>
  <si>
    <t>Grade de ferro em barra chata, inclusive chumbamento</t>
  </si>
  <si>
    <t>ESPELHOS</t>
  </si>
  <si>
    <t>Espelho para banheiros espessura 4 mm, incluindo chapa compensada 10 mm, moldura de alumínio em perfil L 3/4", fixado com parafusos cromados</t>
  </si>
  <si>
    <t xml:space="preserve"> TELHADO</t>
  </si>
  <si>
    <t xml:space="preserve">Cobertura nova de telhas cerâmicas tipo capa e canal inclusive cumeeiras (telhas compradas na fábrica, posto obra)
</t>
  </si>
  <si>
    <t>REBAIXAMENTOS</t>
  </si>
  <si>
    <t xml:space="preserve">Forro PVC branco L = 20 cm, frisado, colocado </t>
  </si>
  <si>
    <t>REVESTIMENTO EMPREGANDO ARGAMASSA DE CIMENTO, CAL E AREIA</t>
  </si>
  <si>
    <t>Reboco tipo paulista de argamassa de cimento, cal hidratada CH1 e areia lavada traço 1:0.5:6, espessura 25mm</t>
  </si>
  <si>
    <t xml:space="preserve">Regularização de base p/ revestimento cerâmico, com argamassa de cimento e areia no traço 1:5,espessura 3cm
</t>
  </si>
  <si>
    <t xml:space="preserve">Lastro de concreto não estrutural, espessura de 6 cm </t>
  </si>
  <si>
    <t xml:space="preserve">Piso cerâmico 45x45cm, PEI 5, Cargo Plus Gray, marcas de referência Eliane, Cecrisa ou Portobello, assentado com argamassa de cimento colante, inclusive rejuntamento
</t>
  </si>
  <si>
    <t>PONTOS HIDRO-SANITÁRIOS</t>
  </si>
  <si>
    <t>pt</t>
  </si>
  <si>
    <t xml:space="preserve">Ponto de água fria (lavatório, tanque, pia de cozinha, etc...) </t>
  </si>
  <si>
    <t xml:space="preserve">Tubo de PVC rígido soldável marrom, diâm. 25mm (3/4"), inclusive conexões </t>
  </si>
  <si>
    <t xml:space="preserve">Torneira de parede cromada, marcas de referência Fabrimar (linha prática, ref.1157) , Deca ou Docol </t>
  </si>
  <si>
    <t xml:space="preserve">Fio de cobre termoplástico, com isolamento para 750V, seção de 2.5 mm2 </t>
  </si>
  <si>
    <t>Pintura com tinta látex PVA, marcas de referência Suvinil, Coral ou Metalatex, inclusive selador em paredes e forros, a três demãos</t>
  </si>
  <si>
    <t xml:space="preserve">Pintura com tinta acrílica, marcas de referência Suvinil, Coral ou Metalatex, inclusive selador acrílico, em
paredes e forros, a três demãos
</t>
  </si>
  <si>
    <t>SOBRE METAL</t>
  </si>
  <si>
    <t xml:space="preserve">Pintura com tinta esmalte sintético, marcas de referência Suvinil, Coral ou Metalatex, a duas demãos,
inclusive fundo anticorrosivo a uma demão, em metal
m2 16,64
paredes e forros, a três demãos
</t>
  </si>
  <si>
    <t>PAVIMENTAÇÃO</t>
  </si>
  <si>
    <t xml:space="preserve">Passeio de cimentado camurçado com argamassa de cimento e areia no traço 1:3 esp. 1.5cm, e lastro de
concreto com 8cm de espessura, inclusive preparo de caixa
</t>
  </si>
  <si>
    <t>TRATAMENTO, CONSERVAÇÃO E LIMPEZA</t>
  </si>
  <si>
    <t xml:space="preserve">Limpeza geral da obra </t>
  </si>
  <si>
    <t>03.01.01</t>
  </si>
  <si>
    <t>03.01.00</t>
  </si>
  <si>
    <t>03.01.02</t>
  </si>
  <si>
    <t>03.01.03</t>
  </si>
  <si>
    <t>03.02.00</t>
  </si>
  <si>
    <t>03.02.01</t>
  </si>
  <si>
    <t>03.03.00</t>
  </si>
  <si>
    <t>03.04.01</t>
  </si>
  <si>
    <t>03.05.00</t>
  </si>
  <si>
    <t>03.05.01</t>
  </si>
  <si>
    <t>04.00.00</t>
  </si>
  <si>
    <t>04.00.01</t>
  </si>
  <si>
    <t>05.00.00</t>
  </si>
  <si>
    <t>05.00.01</t>
  </si>
  <si>
    <t>06.00.00</t>
  </si>
  <si>
    <t>06.01.00</t>
  </si>
  <si>
    <t>06.01.01</t>
  </si>
  <si>
    <t>07.00.00</t>
  </si>
  <si>
    <t>07.00.01</t>
  </si>
  <si>
    <t>08.00.00</t>
  </si>
  <si>
    <t>08.00.01</t>
  </si>
  <si>
    <t>08.00.02</t>
  </si>
  <si>
    <t>08.00.03</t>
  </si>
  <si>
    <t>09.00.00</t>
  </si>
  <si>
    <t>09.00.01</t>
  </si>
  <si>
    <t>09.00.02</t>
  </si>
  <si>
    <t>09.00.03</t>
  </si>
  <si>
    <t>10.00.00</t>
  </si>
  <si>
    <t>10.00.01</t>
  </si>
  <si>
    <t>11.00.00</t>
  </si>
  <si>
    <t>11.00.01</t>
  </si>
  <si>
    <t>11.00.02</t>
  </si>
  <si>
    <t>11.01.00</t>
  </si>
  <si>
    <t>11.01.01</t>
  </si>
  <si>
    <t>12.00.00</t>
  </si>
  <si>
    <t>12.00.01</t>
  </si>
  <si>
    <t>13.00.00</t>
  </si>
  <si>
    <t>13.00.01</t>
  </si>
  <si>
    <t>01.00.00</t>
  </si>
  <si>
    <t>DATA BASE SINAPI: AGOSTO/2015
DATA BASE IOPES: AGOSTO/2015
%ENCARGOS SOCIAIS DESONERADOS INCLUSO LEIS COMPLEMENTARES:
SINAPI: 90,43%          IOPES: 134,87%
BDI: 23,45%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</si>
  <si>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E AMPLIAÇÃO CEIM SÃO GERALDO</t>
    </r>
  </si>
  <si>
    <r>
      <t xml:space="preserve">LOCAL: </t>
    </r>
    <r>
      <rPr>
        <sz val="11"/>
        <rFont val="Arial Narrow"/>
        <family val="2"/>
      </rPr>
      <t>DISTRITO SÃO GERALDO, SÃO MATEUS-ES.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</si>
</sst>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d/m;@"/>
    <numFmt numFmtId="166" formatCode="_-* #,##0.000_-;\-* #,##0.000_-;_-* &quot;-&quot;??_-;_-@_-"/>
    <numFmt numFmtId="167" formatCode="_(&quot;R$ &quot;* #,##0.00_);_(&quot;R$ &quot;* \(#,##0.00\);_(&quot;R$ &quot;* &quot;-&quot;??_);_(@_)"/>
    <numFmt numFmtId="168" formatCode="_(* #,##0_);_(* \(#,##0\);_(* &quot;-&quot;_);_(@_)"/>
    <numFmt numFmtId="169" formatCode="&quot;R$ &quot;#,##0_);\(&quot;R$ &quot;#,##0\)"/>
    <numFmt numFmtId="170" formatCode="[=0]\-;[&lt;0.9999]?0.0%;0%"/>
    <numFmt numFmtId="171" formatCode="0.000"/>
    <numFmt numFmtId="172" formatCode="_-* #,##0.000_-;\-* #,##0.000_-;_-* &quot;-&quot;???_-;_-@_-"/>
    <numFmt numFmtId="173" formatCode="&quot;R$&quot;\ #,##0.00"/>
  </numFmts>
  <fonts count="56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5"/>
      <color indexed="56"/>
      <name val="Calibri"/>
      <family val="2"/>
    </font>
    <font>
      <sz val="10"/>
      <name val="Arial Narrow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name val="Calibri"/>
      <family val="2"/>
    </font>
    <font>
      <b/>
      <sz val="11"/>
      <color indexed="8"/>
      <name val="Arial Narrow"/>
      <family val="2"/>
    </font>
    <font>
      <b/>
      <sz val="14"/>
      <name val="Arial Narrow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3">
    <xf numFmtId="0" fontId="0" fillId="0" borderId="0"/>
    <xf numFmtId="0" fontId="30" fillId="0" borderId="0" applyBorder="0" applyProtection="0"/>
    <xf numFmtId="0" fontId="8" fillId="0" borderId="0"/>
    <xf numFmtId="44" fontId="3" fillId="0" borderId="0" applyFill="0" applyBorder="0" applyAlignment="0" applyProtection="0"/>
    <xf numFmtId="44" fontId="31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1" fillId="0" borderId="0">
      <alignment vertical="center"/>
    </xf>
    <xf numFmtId="0" fontId="3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ill="0" applyBorder="0" applyAlignment="0" applyProtection="0"/>
    <xf numFmtId="43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7" fillId="0" borderId="1" applyNumberFormat="0" applyFill="0" applyAlignment="0" applyProtection="0"/>
    <xf numFmtId="0" fontId="17" fillId="0" borderId="1" applyNumberFormat="0" applyFill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</cellStyleXfs>
  <cellXfs count="10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Protection="1">
      <protection hidden="1"/>
    </xf>
    <xf numFmtId="164" fontId="1" fillId="0" borderId="0" xfId="17" applyNumberFormat="1" applyFont="1" applyFill="1" applyBorder="1" applyAlignment="1" applyProtection="1">
      <alignment horizontal="right" vertical="center"/>
      <protection hidden="1"/>
    </xf>
    <xf numFmtId="0" fontId="0" fillId="4" borderId="0" xfId="0" applyFill="1" applyAlignment="1">
      <alignment vertical="center"/>
    </xf>
    <xf numFmtId="0" fontId="2" fillId="0" borderId="0" xfId="0" applyFont="1" applyBorder="1" applyProtection="1">
      <protection hidden="1"/>
    </xf>
    <xf numFmtId="0" fontId="0" fillId="0" borderId="0" xfId="0" applyBorder="1"/>
    <xf numFmtId="0" fontId="3" fillId="0" borderId="0" xfId="7" applyAlignment="1">
      <alignment wrapText="1"/>
    </xf>
    <xf numFmtId="0" fontId="3" fillId="0" borderId="0" xfId="7"/>
    <xf numFmtId="0" fontId="6" fillId="0" borderId="2" xfId="7" applyFont="1" applyFill="1" applyBorder="1" applyAlignment="1">
      <alignment vertical="center"/>
    </xf>
    <xf numFmtId="14" fontId="9" fillId="2" borderId="2" xfId="2" applyNumberFormat="1" applyFont="1" applyFill="1" applyBorder="1" applyAlignment="1">
      <alignment horizontal="center" vertical="center"/>
    </xf>
    <xf numFmtId="7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7" fontId="32" fillId="0" borderId="2" xfId="0" applyNumberFormat="1" applyFont="1" applyBorder="1" applyAlignment="1">
      <alignment horizontal="center" vertical="center"/>
    </xf>
    <xf numFmtId="10" fontId="3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9" applyFont="1"/>
    <xf numFmtId="0" fontId="11" fillId="0" borderId="0" xfId="6" applyFont="1"/>
    <xf numFmtId="0" fontId="12" fillId="2" borderId="0" xfId="2" applyFont="1" applyFill="1" applyBorder="1" applyAlignment="1">
      <alignment horizontal="center" vertical="center"/>
    </xf>
    <xf numFmtId="14" fontId="12" fillId="2" borderId="0" xfId="2" applyNumberFormat="1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right" vertical="center"/>
    </xf>
    <xf numFmtId="165" fontId="6" fillId="0" borderId="0" xfId="6" applyNumberFormat="1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0" fontId="33" fillId="5" borderId="0" xfId="0" applyFont="1" applyFill="1" applyBorder="1" applyAlignment="1">
      <alignment vertical="center" wrapText="1"/>
    </xf>
    <xf numFmtId="0" fontId="13" fillId="0" borderId="0" xfId="9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5" borderId="3" xfId="7" applyFont="1" applyFill="1" applyBorder="1" applyAlignment="1">
      <alignment vertical="center"/>
    </xf>
    <xf numFmtId="0" fontId="6" fillId="5" borderId="4" xfId="7" applyFont="1" applyFill="1" applyBorder="1" applyAlignment="1">
      <alignment vertical="center"/>
    </xf>
    <xf numFmtId="0" fontId="6" fillId="5" borderId="5" xfId="7" applyFont="1" applyFill="1" applyBorder="1" applyAlignment="1">
      <alignment vertical="center"/>
    </xf>
    <xf numFmtId="0" fontId="3" fillId="0" borderId="0" xfId="6"/>
    <xf numFmtId="0" fontId="13" fillId="0" borderId="0" xfId="6" applyFont="1" applyAlignment="1">
      <alignment horizontal="center"/>
    </xf>
    <xf numFmtId="0" fontId="3" fillId="5" borderId="6" xfId="6" applyFill="1" applyBorder="1"/>
    <xf numFmtId="0" fontId="3" fillId="5" borderId="0" xfId="6" applyFill="1" applyBorder="1"/>
    <xf numFmtId="0" fontId="3" fillId="5" borderId="7" xfId="6" applyFill="1" applyBorder="1"/>
    <xf numFmtId="0" fontId="11" fillId="5" borderId="6" xfId="6" applyFont="1" applyFill="1" applyBorder="1" applyAlignment="1"/>
    <xf numFmtId="0" fontId="11" fillId="5" borderId="0" xfId="6" applyFont="1" applyFill="1" applyBorder="1" applyAlignment="1"/>
    <xf numFmtId="0" fontId="11" fillId="5" borderId="7" xfId="6" applyFont="1" applyFill="1" applyBorder="1" applyAlignment="1"/>
    <xf numFmtId="0" fontId="11" fillId="0" borderId="0" xfId="6" applyFont="1" applyAlignment="1"/>
    <xf numFmtId="0" fontId="3" fillId="5" borderId="6" xfId="6" applyFont="1" applyFill="1" applyBorder="1" applyAlignment="1">
      <alignment horizontal="center"/>
    </xf>
    <xf numFmtId="0" fontId="3" fillId="5" borderId="0" xfId="6" applyFont="1" applyFill="1" applyBorder="1" applyAlignment="1">
      <alignment horizontal="center"/>
    </xf>
    <xf numFmtId="0" fontId="3" fillId="5" borderId="7" xfId="6" applyFont="1" applyFill="1" applyBorder="1" applyAlignment="1">
      <alignment horizontal="center"/>
    </xf>
    <xf numFmtId="0" fontId="3" fillId="0" borderId="0" xfId="6" applyFont="1" applyAlignment="1">
      <alignment horizontal="center"/>
    </xf>
    <xf numFmtId="0" fontId="13" fillId="5" borderId="6" xfId="6" applyFont="1" applyFill="1" applyBorder="1" applyAlignment="1">
      <alignment horizontal="justify"/>
    </xf>
    <xf numFmtId="0" fontId="11" fillId="5" borderId="0" xfId="6" applyFont="1" applyFill="1" applyBorder="1"/>
    <xf numFmtId="0" fontId="11" fillId="5" borderId="6" xfId="6" applyFont="1" applyFill="1" applyBorder="1" applyAlignment="1">
      <alignment horizontal="justify" vertical="top" wrapText="1"/>
    </xf>
    <xf numFmtId="2" fontId="11" fillId="5" borderId="0" xfId="6" applyNumberFormat="1" applyFont="1" applyFill="1" applyBorder="1" applyAlignment="1">
      <alignment horizontal="right" vertical="top" wrapText="1"/>
    </xf>
    <xf numFmtId="0" fontId="11" fillId="5" borderId="0" xfId="6" applyFont="1" applyFill="1" applyBorder="1" applyAlignment="1">
      <alignment horizontal="justify" vertical="top" wrapText="1"/>
    </xf>
    <xf numFmtId="0" fontId="15" fillId="5" borderId="6" xfId="6" applyFont="1" applyFill="1" applyBorder="1" applyAlignment="1">
      <alignment horizontal="right" vertical="top" wrapText="1"/>
    </xf>
    <xf numFmtId="4" fontId="15" fillId="5" borderId="0" xfId="6" applyNumberFormat="1" applyFont="1" applyFill="1" applyBorder="1" applyAlignment="1">
      <alignment horizontal="right" vertical="top" wrapText="1"/>
    </xf>
    <xf numFmtId="0" fontId="15" fillId="5" borderId="0" xfId="6" applyFont="1" applyFill="1" applyBorder="1" applyAlignment="1">
      <alignment horizontal="justify" vertical="top" wrapText="1"/>
    </xf>
    <xf numFmtId="0" fontId="11" fillId="5" borderId="6" xfId="6" applyFont="1" applyFill="1" applyBorder="1" applyAlignment="1">
      <alignment horizontal="justify"/>
    </xf>
    <xf numFmtId="2" fontId="11" fillId="5" borderId="0" xfId="6" applyNumberFormat="1" applyFont="1" applyFill="1" applyBorder="1"/>
    <xf numFmtId="0" fontId="16" fillId="5" borderId="0" xfId="6" applyFont="1" applyFill="1" applyBorder="1" applyAlignment="1">
      <alignment horizontal="justify" vertical="top" wrapText="1"/>
    </xf>
    <xf numFmtId="0" fontId="16" fillId="5" borderId="6" xfId="6" applyFont="1" applyFill="1" applyBorder="1" applyAlignment="1">
      <alignment horizontal="justify"/>
    </xf>
    <xf numFmtId="2" fontId="16" fillId="5" borderId="0" xfId="6" applyNumberFormat="1" applyFont="1" applyFill="1" applyBorder="1" applyAlignment="1">
      <alignment horizontal="right" vertical="top" wrapText="1"/>
    </xf>
    <xf numFmtId="0" fontId="16" fillId="5" borderId="6" xfId="6" applyFont="1" applyFill="1" applyBorder="1" applyAlignment="1">
      <alignment horizontal="justify" vertical="top" wrapText="1"/>
    </xf>
    <xf numFmtId="2" fontId="15" fillId="5" borderId="0" xfId="6" applyNumberFormat="1" applyFont="1" applyFill="1" applyBorder="1" applyAlignment="1">
      <alignment horizontal="right" vertical="top" wrapText="1"/>
    </xf>
    <xf numFmtId="2" fontId="13" fillId="5" borderId="0" xfId="6" applyNumberFormat="1" applyFont="1" applyFill="1" applyBorder="1" applyAlignment="1">
      <alignment horizontal="right" vertical="top" wrapText="1"/>
    </xf>
    <xf numFmtId="0" fontId="15" fillId="5" borderId="7" xfId="6" applyFont="1" applyFill="1" applyBorder="1" applyAlignment="1">
      <alignment horizontal="justify" vertical="top" wrapText="1"/>
    </xf>
    <xf numFmtId="0" fontId="1" fillId="5" borderId="6" xfId="6" applyFont="1" applyFill="1" applyBorder="1" applyAlignment="1">
      <alignment wrapText="1"/>
    </xf>
    <xf numFmtId="0" fontId="3" fillId="5" borderId="8" xfId="6" applyFill="1" applyBorder="1"/>
    <xf numFmtId="0" fontId="3" fillId="5" borderId="9" xfId="6" applyFill="1" applyBorder="1"/>
    <xf numFmtId="0" fontId="3" fillId="5" borderId="10" xfId="6" applyFill="1" applyBorder="1"/>
    <xf numFmtId="0" fontId="3" fillId="0" borderId="0" xfId="6" applyBorder="1"/>
    <xf numFmtId="0" fontId="34" fillId="5" borderId="0" xfId="8" applyFont="1" applyFill="1" applyBorder="1"/>
    <xf numFmtId="0" fontId="35" fillId="5" borderId="11" xfId="8" applyFont="1" applyFill="1" applyBorder="1" applyAlignment="1">
      <alignment horizontal="center" vertical="center"/>
    </xf>
    <xf numFmtId="43" fontId="35" fillId="5" borderId="12" xfId="19" applyFont="1" applyFill="1" applyBorder="1" applyAlignment="1">
      <alignment horizontal="center" vertical="center"/>
    </xf>
    <xf numFmtId="0" fontId="34" fillId="5" borderId="0" xfId="8" applyFont="1" applyFill="1"/>
    <xf numFmtId="0" fontId="35" fillId="6" borderId="11" xfId="8" applyFont="1" applyFill="1" applyBorder="1" applyAlignment="1">
      <alignment horizontal="center" vertical="center"/>
    </xf>
    <xf numFmtId="0" fontId="35" fillId="7" borderId="11" xfId="8" applyFont="1" applyFill="1" applyBorder="1" applyAlignment="1">
      <alignment horizontal="center" vertical="center"/>
    </xf>
    <xf numFmtId="43" fontId="36" fillId="7" borderId="13" xfId="19" applyFont="1" applyFill="1" applyBorder="1" applyAlignment="1">
      <alignment horizontal="center" vertical="center"/>
    </xf>
    <xf numFmtId="43" fontId="35" fillId="7" borderId="12" xfId="19" applyFont="1" applyFill="1" applyBorder="1" applyAlignment="1">
      <alignment horizontal="center" vertical="center"/>
    </xf>
    <xf numFmtId="0" fontId="34" fillId="0" borderId="14" xfId="8" applyFont="1" applyFill="1" applyBorder="1" applyAlignment="1">
      <alignment horizontal="center" vertical="center"/>
    </xf>
    <xf numFmtId="43" fontId="35" fillId="5" borderId="15" xfId="19" applyFont="1" applyFill="1" applyBorder="1" applyAlignment="1">
      <alignment horizontal="center" vertical="center"/>
    </xf>
    <xf numFmtId="0" fontId="34" fillId="0" borderId="14" xfId="8" applyFont="1" applyFill="1" applyBorder="1" applyAlignment="1">
      <alignment horizontal="right" vertical="center"/>
    </xf>
    <xf numFmtId="43" fontId="34" fillId="0" borderId="2" xfId="19" applyFont="1" applyFill="1" applyBorder="1" applyAlignment="1">
      <alignment vertical="center"/>
    </xf>
    <xf numFmtId="0" fontId="34" fillId="0" borderId="0" xfId="8" applyFont="1" applyFill="1" applyBorder="1" applyAlignment="1">
      <alignment vertical="center"/>
    </xf>
    <xf numFmtId="0" fontId="34" fillId="0" borderId="16" xfId="8" applyFont="1" applyFill="1" applyBorder="1" applyAlignment="1">
      <alignment vertical="center"/>
    </xf>
    <xf numFmtId="43" fontId="34" fillId="0" borderId="17" xfId="19" applyFont="1" applyFill="1" applyBorder="1" applyAlignment="1">
      <alignment vertical="center"/>
    </xf>
    <xf numFmtId="43" fontId="34" fillId="0" borderId="17" xfId="19" applyFont="1" applyFill="1" applyBorder="1" applyAlignment="1">
      <alignment horizontal="center" vertical="center"/>
    </xf>
    <xf numFmtId="0" fontId="34" fillId="0" borderId="18" xfId="8" applyFont="1" applyFill="1" applyBorder="1" applyAlignment="1">
      <alignment vertical="center"/>
    </xf>
    <xf numFmtId="0" fontId="34" fillId="0" borderId="19" xfId="8" applyFont="1" applyFill="1" applyBorder="1" applyAlignment="1">
      <alignment vertical="center"/>
    </xf>
    <xf numFmtId="0" fontId="34" fillId="0" borderId="20" xfId="8" applyFont="1" applyFill="1" applyBorder="1" applyAlignment="1">
      <alignment vertical="center"/>
    </xf>
    <xf numFmtId="43" fontId="34" fillId="0" borderId="20" xfId="19" applyFont="1" applyFill="1" applyBorder="1" applyAlignment="1">
      <alignment vertical="center"/>
    </xf>
    <xf numFmtId="0" fontId="34" fillId="0" borderId="15" xfId="8" applyFont="1" applyFill="1" applyBorder="1" applyAlignment="1">
      <alignment vertical="center"/>
    </xf>
    <xf numFmtId="0" fontId="36" fillId="7" borderId="13" xfId="8" applyFont="1" applyFill="1" applyBorder="1" applyAlignment="1">
      <alignment vertical="center"/>
    </xf>
    <xf numFmtId="43" fontId="34" fillId="7" borderId="13" xfId="19" applyFont="1" applyFill="1" applyBorder="1" applyAlignment="1">
      <alignment vertical="center"/>
    </xf>
    <xf numFmtId="43" fontId="34" fillId="0" borderId="14" xfId="19" applyFont="1" applyFill="1" applyBorder="1" applyAlignment="1">
      <alignment vertical="center"/>
    </xf>
    <xf numFmtId="0" fontId="34" fillId="0" borderId="17" xfId="8" applyFont="1" applyFill="1" applyBorder="1" applyAlignment="1">
      <alignment vertical="center"/>
    </xf>
    <xf numFmtId="0" fontId="34" fillId="0" borderId="21" xfId="8" applyFont="1" applyFill="1" applyBorder="1" applyAlignment="1">
      <alignment vertical="center"/>
    </xf>
    <xf numFmtId="0" fontId="34" fillId="0" borderId="22" xfId="8" applyFont="1" applyFill="1" applyBorder="1" applyAlignment="1">
      <alignment vertical="center"/>
    </xf>
    <xf numFmtId="0" fontId="34" fillId="0" borderId="14" xfId="8" applyFont="1" applyFill="1" applyBorder="1" applyAlignment="1">
      <alignment vertical="center"/>
    </xf>
    <xf numFmtId="0" fontId="34" fillId="0" borderId="18" xfId="8" applyFont="1" applyFill="1" applyBorder="1" applyAlignment="1">
      <alignment horizontal="center" vertical="center"/>
    </xf>
    <xf numFmtId="43" fontId="34" fillId="0" borderId="23" xfId="19" applyFont="1" applyFill="1" applyBorder="1" applyAlignment="1">
      <alignment vertical="center"/>
    </xf>
    <xf numFmtId="0" fontId="35" fillId="5" borderId="16" xfId="8" applyFont="1" applyFill="1" applyBorder="1" applyAlignment="1">
      <alignment horizontal="center" vertical="center"/>
    </xf>
    <xf numFmtId="43" fontId="36" fillId="5" borderId="14" xfId="19" applyFont="1" applyFill="1" applyBorder="1" applyAlignment="1">
      <alignment horizontal="center" vertical="center"/>
    </xf>
    <xf numFmtId="43" fontId="35" fillId="5" borderId="18" xfId="19" applyFont="1" applyFill="1" applyBorder="1" applyAlignment="1">
      <alignment horizontal="center" vertical="center"/>
    </xf>
    <xf numFmtId="43" fontId="34" fillId="0" borderId="24" xfId="19" applyFont="1" applyFill="1" applyBorder="1" applyAlignment="1">
      <alignment vertical="center"/>
    </xf>
    <xf numFmtId="0" fontId="35" fillId="6" borderId="19" xfId="8" applyFont="1" applyFill="1" applyBorder="1" applyAlignment="1">
      <alignment horizontal="center"/>
    </xf>
    <xf numFmtId="43" fontId="34" fillId="0" borderId="14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vertical="center"/>
    </xf>
    <xf numFmtId="2" fontId="34" fillId="0" borderId="2" xfId="8" applyNumberFormat="1" applyFont="1" applyFill="1" applyBorder="1" applyAlignment="1">
      <alignment vertical="center"/>
    </xf>
    <xf numFmtId="0" fontId="35" fillId="6" borderId="11" xfId="8" applyFont="1" applyFill="1" applyBorder="1" applyAlignment="1">
      <alignment horizontal="center"/>
    </xf>
    <xf numFmtId="0" fontId="34" fillId="5" borderId="14" xfId="8" applyFont="1" applyFill="1" applyBorder="1" applyAlignment="1">
      <alignment horizontal="center"/>
    </xf>
    <xf numFmtId="43" fontId="34" fillId="5" borderId="18" xfId="19" applyFont="1" applyFill="1" applyBorder="1" applyAlignment="1">
      <alignment vertical="center"/>
    </xf>
    <xf numFmtId="0" fontId="34" fillId="0" borderId="2" xfId="8" applyFont="1" applyFill="1" applyBorder="1" applyAlignment="1">
      <alignment horizontal="left" vertical="center"/>
    </xf>
    <xf numFmtId="43" fontId="34" fillId="5" borderId="22" xfId="19" applyFont="1" applyFill="1" applyBorder="1" applyAlignment="1">
      <alignment vertical="center"/>
    </xf>
    <xf numFmtId="43" fontId="34" fillId="5" borderId="20" xfId="19" applyFont="1" applyFill="1" applyBorder="1" applyAlignment="1">
      <alignment horizontal="center"/>
    </xf>
    <xf numFmtId="43" fontId="34" fillId="0" borderId="20" xfId="19" applyFont="1" applyFill="1" applyBorder="1" applyAlignment="1">
      <alignment horizontal="center" vertical="center"/>
    </xf>
    <xf numFmtId="43" fontId="34" fillId="0" borderId="2" xfId="8" applyNumberFormat="1" applyFont="1" applyFill="1" applyBorder="1" applyAlignment="1">
      <alignment vertical="center"/>
    </xf>
    <xf numFmtId="43" fontId="34" fillId="5" borderId="2" xfId="19" applyFont="1" applyFill="1" applyBorder="1" applyAlignment="1">
      <alignment vertical="center"/>
    </xf>
    <xf numFmtId="43" fontId="34" fillId="5" borderId="2" xfId="19" applyFont="1" applyFill="1" applyBorder="1" applyAlignment="1">
      <alignment horizontal="center"/>
    </xf>
    <xf numFmtId="43" fontId="34" fillId="5" borderId="2" xfId="19" applyFont="1" applyFill="1" applyBorder="1" applyAlignment="1">
      <alignment horizontal="center" vertical="center"/>
    </xf>
    <xf numFmtId="43" fontId="34" fillId="5" borderId="14" xfId="19" applyFont="1" applyFill="1" applyBorder="1" applyAlignment="1">
      <alignment horizontal="center" vertical="center"/>
    </xf>
    <xf numFmtId="43" fontId="34" fillId="5" borderId="14" xfId="19" applyFont="1" applyFill="1" applyBorder="1" applyAlignment="1">
      <alignment vertical="center"/>
    </xf>
    <xf numFmtId="43" fontId="34" fillId="0" borderId="2" xfId="19" applyFont="1" applyFill="1" applyBorder="1" applyAlignment="1">
      <alignment horizontal="center" vertical="center" wrapText="1"/>
    </xf>
    <xf numFmtId="43" fontId="34" fillId="0" borderId="23" xfId="19" applyFont="1" applyFill="1" applyBorder="1" applyAlignment="1">
      <alignment horizontal="center" vertical="center"/>
    </xf>
    <xf numFmtId="43" fontId="34" fillId="5" borderId="2" xfId="19" applyFont="1" applyFill="1" applyBorder="1"/>
    <xf numFmtId="43" fontId="34" fillId="5" borderId="20" xfId="19" applyFont="1" applyFill="1" applyBorder="1"/>
    <xf numFmtId="0" fontId="34" fillId="0" borderId="25" xfId="8" applyFont="1" applyFill="1" applyBorder="1" applyAlignment="1">
      <alignment vertical="center"/>
    </xf>
    <xf numFmtId="43" fontId="34" fillId="5" borderId="2" xfId="17" applyNumberFormat="1" applyFont="1" applyFill="1" applyBorder="1" applyAlignment="1">
      <alignment horizontal="center"/>
    </xf>
    <xf numFmtId="43" fontId="34" fillId="5" borderId="2" xfId="17" applyFont="1" applyFill="1" applyBorder="1" applyAlignment="1">
      <alignment horizontal="right"/>
    </xf>
    <xf numFmtId="43" fontId="34" fillId="0" borderId="2" xfId="17" applyFont="1" applyFill="1" applyBorder="1" applyAlignment="1">
      <alignment horizontal="center" vertical="center"/>
    </xf>
    <xf numFmtId="0" fontId="34" fillId="0" borderId="26" xfId="8" applyFont="1" applyFill="1" applyBorder="1" applyAlignment="1">
      <alignment horizontal="center" vertical="center"/>
    </xf>
    <xf numFmtId="0" fontId="34" fillId="0" borderId="27" xfId="8" applyFont="1" applyFill="1" applyBorder="1" applyAlignment="1">
      <alignment horizontal="center" vertical="center"/>
    </xf>
    <xf numFmtId="43" fontId="35" fillId="7" borderId="12" xfId="19" applyFont="1" applyFill="1" applyBorder="1" applyAlignment="1">
      <alignment horizontal="center"/>
    </xf>
    <xf numFmtId="43" fontId="34" fillId="5" borderId="20" xfId="19" applyFont="1" applyFill="1" applyBorder="1" applyAlignment="1">
      <alignment vertical="center"/>
    </xf>
    <xf numFmtId="43" fontId="36" fillId="5" borderId="17" xfId="19" applyFont="1" applyFill="1" applyBorder="1" applyAlignment="1">
      <alignment horizontal="center" vertical="center"/>
    </xf>
    <xf numFmtId="43" fontId="34" fillId="5" borderId="23" xfId="19" applyFont="1" applyFill="1" applyBorder="1" applyAlignment="1">
      <alignment vertical="center"/>
    </xf>
    <xf numFmtId="0" fontId="34" fillId="5" borderId="16" xfId="8" applyFont="1" applyFill="1" applyBorder="1" applyAlignment="1">
      <alignment horizontal="center" vertical="center"/>
    </xf>
    <xf numFmtId="0" fontId="34" fillId="5" borderId="25" xfId="8" applyFont="1" applyFill="1" applyBorder="1" applyAlignment="1">
      <alignment horizontal="center" vertical="center"/>
    </xf>
    <xf numFmtId="0" fontId="34" fillId="5" borderId="21" xfId="8" applyFont="1" applyFill="1" applyBorder="1" applyAlignment="1">
      <alignment horizontal="center" vertical="center"/>
    </xf>
    <xf numFmtId="43" fontId="35" fillId="7" borderId="12" xfId="19" applyFont="1" applyFill="1" applyBorder="1" applyAlignment="1">
      <alignment vertical="center"/>
    </xf>
    <xf numFmtId="43" fontId="35" fillId="7" borderId="29" xfId="19" applyFont="1" applyFill="1" applyBorder="1" applyAlignment="1">
      <alignment horizontal="center" vertical="center"/>
    </xf>
    <xf numFmtId="43" fontId="38" fillId="5" borderId="14" xfId="19" applyFont="1" applyFill="1" applyBorder="1" applyAlignment="1">
      <alignment vertical="center"/>
    </xf>
    <xf numFmtId="0" fontId="38" fillId="5" borderId="0" xfId="8" applyFont="1" applyFill="1" applyBorder="1"/>
    <xf numFmtId="43" fontId="34" fillId="5" borderId="18" xfId="19" applyFont="1" applyFill="1" applyBorder="1" applyAlignment="1">
      <alignment horizontal="center" vertical="center"/>
    </xf>
    <xf numFmtId="164" fontId="34" fillId="0" borderId="2" xfId="24" applyNumberFormat="1" applyFont="1" applyFill="1" applyBorder="1"/>
    <xf numFmtId="164" fontId="34" fillId="0" borderId="2" xfId="24" applyNumberFormat="1" applyFont="1" applyFill="1" applyBorder="1" applyAlignment="1">
      <alignment horizontal="center"/>
    </xf>
    <xf numFmtId="164" fontId="29" fillId="0" borderId="23" xfId="24" applyNumberFormat="1" applyFont="1" applyFill="1" applyBorder="1"/>
    <xf numFmtId="0" fontId="34" fillId="5" borderId="0" xfId="8" applyFont="1" applyFill="1" applyBorder="1" applyAlignment="1">
      <alignment horizontal="center" vertical="center"/>
    </xf>
    <xf numFmtId="43" fontId="34" fillId="5" borderId="0" xfId="19" applyFont="1" applyFill="1" applyBorder="1" applyAlignment="1">
      <alignment vertical="center"/>
    </xf>
    <xf numFmtId="0" fontId="35" fillId="7" borderId="30" xfId="8" applyFont="1" applyFill="1" applyBorder="1" applyAlignment="1">
      <alignment horizontal="center" vertical="center"/>
    </xf>
    <xf numFmtId="43" fontId="36" fillId="7" borderId="31" xfId="19" applyFont="1" applyFill="1" applyBorder="1" applyAlignment="1">
      <alignment horizontal="center" vertical="center"/>
    </xf>
    <xf numFmtId="43" fontId="35" fillId="7" borderId="32" xfId="19" applyFont="1" applyFill="1" applyBorder="1" applyAlignment="1">
      <alignment horizontal="center" vertical="center"/>
    </xf>
    <xf numFmtId="43" fontId="35" fillId="5" borderId="2" xfId="19" applyFont="1" applyFill="1" applyBorder="1" applyAlignment="1">
      <alignment horizontal="left" vertical="center"/>
    </xf>
    <xf numFmtId="43" fontId="35" fillId="5" borderId="20" xfId="19" applyFont="1" applyFill="1" applyBorder="1" applyAlignment="1">
      <alignment horizontal="left" vertical="center"/>
    </xf>
    <xf numFmtId="43" fontId="34" fillId="5" borderId="20" xfId="19" applyFont="1" applyFill="1" applyBorder="1" applyAlignment="1">
      <alignment horizontal="left" vertical="center"/>
    </xf>
    <xf numFmtId="2" fontId="34" fillId="0" borderId="14" xfId="8" applyNumberFormat="1" applyFont="1" applyFill="1" applyBorder="1" applyAlignment="1">
      <alignment horizontal="right" vertical="center"/>
    </xf>
    <xf numFmtId="0" fontId="34" fillId="0" borderId="2" xfId="8" applyFont="1" applyFill="1" applyBorder="1" applyAlignment="1">
      <alignment horizontal="right" vertical="center"/>
    </xf>
    <xf numFmtId="43" fontId="34" fillId="0" borderId="2" xfId="17" applyFont="1" applyFill="1" applyBorder="1" applyAlignment="1">
      <alignment horizontal="right" vertical="center"/>
    </xf>
    <xf numFmtId="43" fontId="36" fillId="7" borderId="33" xfId="19" applyFont="1" applyFill="1" applyBorder="1" applyAlignment="1">
      <alignment horizontal="center" vertical="center"/>
    </xf>
    <xf numFmtId="0" fontId="34" fillId="0" borderId="34" xfId="8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left" vertical="center"/>
    </xf>
    <xf numFmtId="0" fontId="34" fillId="0" borderId="35" xfId="8" applyFont="1" applyFill="1" applyBorder="1" applyAlignment="1">
      <alignment horizontal="left" vertical="center"/>
    </xf>
    <xf numFmtId="43" fontId="34" fillId="0" borderId="20" xfId="19" applyFont="1" applyFill="1" applyBorder="1" applyAlignment="1">
      <alignment horizontal="center" vertical="center" wrapText="1"/>
    </xf>
    <xf numFmtId="43" fontId="34" fillId="5" borderId="20" xfId="19" applyFont="1" applyFill="1" applyBorder="1" applyAlignment="1">
      <alignment horizontal="center" vertical="center"/>
    </xf>
    <xf numFmtId="0" fontId="3" fillId="0" borderId="0" xfId="6" applyAlignment="1">
      <alignment vertical="center"/>
    </xf>
    <xf numFmtId="0" fontId="20" fillId="0" borderId="0" xfId="6" applyFont="1" applyFill="1" applyBorder="1" applyAlignment="1">
      <alignment vertical="center"/>
    </xf>
    <xf numFmtId="0" fontId="20" fillId="0" borderId="0" xfId="6" applyFont="1" applyFill="1" applyBorder="1" applyAlignment="1">
      <alignment horizontal="right" vertical="center"/>
    </xf>
    <xf numFmtId="2" fontId="20" fillId="0" borderId="0" xfId="6" applyNumberFormat="1" applyFont="1" applyFill="1" applyBorder="1" applyAlignment="1">
      <alignment vertical="center"/>
    </xf>
    <xf numFmtId="0" fontId="20" fillId="0" borderId="0" xfId="6" applyFont="1" applyFill="1" applyBorder="1" applyAlignment="1">
      <alignment horizontal="center" vertical="center"/>
    </xf>
    <xf numFmtId="0" fontId="19" fillId="3" borderId="4" xfId="6" applyFont="1" applyFill="1" applyBorder="1" applyAlignment="1">
      <alignment vertical="center"/>
    </xf>
    <xf numFmtId="0" fontId="19" fillId="3" borderId="4" xfId="6" applyFont="1" applyFill="1" applyBorder="1" applyAlignment="1">
      <alignment horizontal="right" vertical="center"/>
    </xf>
    <xf numFmtId="2" fontId="19" fillId="3" borderId="4" xfId="6" applyNumberFormat="1" applyFont="1" applyFill="1" applyBorder="1" applyAlignment="1">
      <alignment vertical="center"/>
    </xf>
    <xf numFmtId="0" fontId="19" fillId="3" borderId="4" xfId="6" applyFont="1" applyFill="1" applyBorder="1" applyAlignment="1">
      <alignment horizontal="center" vertical="center"/>
    </xf>
    <xf numFmtId="0" fontId="20" fillId="0" borderId="36" xfId="6" applyFont="1" applyFill="1" applyBorder="1" applyAlignment="1">
      <alignment horizontal="center" vertical="center"/>
    </xf>
    <xf numFmtId="0" fontId="20" fillId="0" borderId="37" xfId="6" applyFont="1" applyFill="1" applyBorder="1" applyAlignment="1">
      <alignment horizontal="right" vertical="center"/>
    </xf>
    <xf numFmtId="0" fontId="20" fillId="0" borderId="37" xfId="6" applyFont="1" applyFill="1" applyBorder="1" applyAlignment="1">
      <alignment horizontal="center" vertical="center"/>
    </xf>
    <xf numFmtId="2" fontId="20" fillId="0" borderId="37" xfId="6" applyNumberFormat="1" applyFont="1" applyFill="1" applyBorder="1" applyAlignment="1">
      <alignment horizontal="center" vertical="center"/>
    </xf>
    <xf numFmtId="0" fontId="20" fillId="0" borderId="2" xfId="6" applyFont="1" applyFill="1" applyBorder="1" applyAlignment="1">
      <alignment horizontal="center" vertical="center" wrapText="1"/>
    </xf>
    <xf numFmtId="2" fontId="20" fillId="0" borderId="2" xfId="6" applyNumberFormat="1" applyFont="1" applyFill="1" applyBorder="1" applyAlignment="1">
      <alignment horizontal="right" vertical="center"/>
    </xf>
    <xf numFmtId="0" fontId="39" fillId="0" borderId="2" xfId="6" applyFont="1" applyFill="1" applyBorder="1" applyAlignment="1">
      <alignment horizontal="right" vertical="center" wrapText="1"/>
    </xf>
    <xf numFmtId="2" fontId="39" fillId="0" borderId="2" xfId="6" applyNumberFormat="1" applyFont="1" applyFill="1" applyBorder="1" applyAlignment="1">
      <alignment horizontal="right" vertical="center" wrapText="1"/>
    </xf>
    <xf numFmtId="0" fontId="20" fillId="0" borderId="2" xfId="6" applyFont="1" applyFill="1" applyBorder="1" applyAlignment="1">
      <alignment horizontal="right" vertical="center"/>
    </xf>
    <xf numFmtId="171" fontId="39" fillId="0" borderId="2" xfId="6" applyNumberFormat="1" applyFont="1" applyFill="1" applyBorder="1" applyAlignment="1">
      <alignment horizontal="right" vertical="center" wrapText="1"/>
    </xf>
    <xf numFmtId="0" fontId="39" fillId="0" borderId="2" xfId="6" applyFont="1" applyFill="1" applyBorder="1" applyAlignment="1">
      <alignment vertical="center" wrapText="1"/>
    </xf>
    <xf numFmtId="0" fontId="39" fillId="0" borderId="2" xfId="6" applyFont="1" applyFill="1" applyBorder="1" applyAlignment="1">
      <alignment horizontal="center" vertical="center" wrapText="1"/>
    </xf>
    <xf numFmtId="0" fontId="21" fillId="0" borderId="2" xfId="6" applyFont="1" applyFill="1" applyBorder="1" applyAlignment="1">
      <alignment horizontal="justify" vertical="center" wrapText="1"/>
    </xf>
    <xf numFmtId="0" fontId="20" fillId="0" borderId="2" xfId="6" applyFont="1" applyFill="1" applyBorder="1" applyAlignment="1">
      <alignment vertical="center"/>
    </xf>
    <xf numFmtId="2" fontId="20" fillId="0" borderId="2" xfId="6" applyNumberFormat="1" applyFont="1" applyFill="1" applyBorder="1" applyAlignment="1">
      <alignment vertical="center"/>
    </xf>
    <xf numFmtId="0" fontId="20" fillId="0" borderId="2" xfId="6" applyFont="1" applyFill="1" applyBorder="1" applyAlignment="1">
      <alignment horizontal="center" vertical="center"/>
    </xf>
    <xf numFmtId="2" fontId="21" fillId="0" borderId="2" xfId="6" applyNumberFormat="1" applyFont="1" applyFill="1" applyBorder="1" applyAlignment="1">
      <alignment vertical="center"/>
    </xf>
    <xf numFmtId="49" fontId="19" fillId="3" borderId="4" xfId="6" applyNumberFormat="1" applyFont="1" applyFill="1" applyBorder="1" applyAlignment="1">
      <alignment vertical="center"/>
    </xf>
    <xf numFmtId="49" fontId="19" fillId="3" borderId="4" xfId="6" applyNumberFormat="1" applyFont="1" applyFill="1" applyBorder="1" applyAlignment="1">
      <alignment horizontal="right" vertical="center"/>
    </xf>
    <xf numFmtId="49" fontId="19" fillId="3" borderId="4" xfId="6" applyNumberFormat="1" applyFont="1" applyFill="1" applyBorder="1" applyAlignment="1">
      <alignment horizontal="center" vertical="center"/>
    </xf>
    <xf numFmtId="0" fontId="20" fillId="0" borderId="4" xfId="6" applyFont="1" applyFill="1" applyBorder="1" applyAlignment="1">
      <alignment vertical="center"/>
    </xf>
    <xf numFmtId="0" fontId="20" fillId="0" borderId="4" xfId="6" applyFont="1" applyFill="1" applyBorder="1" applyAlignment="1">
      <alignment horizontal="right" vertical="center"/>
    </xf>
    <xf numFmtId="2" fontId="20" fillId="0" borderId="4" xfId="6" applyNumberFormat="1" applyFont="1" applyFill="1" applyBorder="1" applyAlignment="1">
      <alignment vertical="center"/>
    </xf>
    <xf numFmtId="0" fontId="20" fillId="0" borderId="4" xfId="6" applyFont="1" applyFill="1" applyBorder="1" applyAlignment="1">
      <alignment horizontal="center" vertical="center"/>
    </xf>
    <xf numFmtId="0" fontId="20" fillId="0" borderId="4" xfId="6" applyFont="1" applyFill="1" applyBorder="1" applyAlignment="1">
      <alignment horizontal="left" vertical="center"/>
    </xf>
    <xf numFmtId="0" fontId="21" fillId="0" borderId="38" xfId="6" applyFont="1" applyFill="1" applyBorder="1" applyAlignment="1">
      <alignment vertical="center"/>
    </xf>
    <xf numFmtId="0" fontId="21" fillId="0" borderId="38" xfId="6" applyFont="1" applyFill="1" applyBorder="1" applyAlignment="1">
      <alignment horizontal="right" vertical="center"/>
    </xf>
    <xf numFmtId="2" fontId="21" fillId="0" borderId="38" xfId="6" applyNumberFormat="1" applyFont="1" applyFill="1" applyBorder="1" applyAlignment="1">
      <alignment vertical="center"/>
    </xf>
    <xf numFmtId="0" fontId="21" fillId="0" borderId="38" xfId="6" applyFont="1" applyFill="1" applyBorder="1" applyAlignment="1">
      <alignment horizontal="center" vertical="center"/>
    </xf>
    <xf numFmtId="0" fontId="20" fillId="0" borderId="0" xfId="6" applyFont="1" applyFill="1" applyAlignment="1">
      <alignment vertical="center"/>
    </xf>
    <xf numFmtId="0" fontId="20" fillId="0" borderId="0" xfId="6" applyFont="1" applyFill="1" applyAlignment="1">
      <alignment horizontal="right" vertical="center"/>
    </xf>
    <xf numFmtId="2" fontId="20" fillId="0" borderId="0" xfId="6" applyNumberFormat="1" applyFont="1" applyFill="1" applyAlignment="1">
      <alignment vertical="center"/>
    </xf>
    <xf numFmtId="0" fontId="20" fillId="0" borderId="0" xfId="6" applyFont="1" applyFill="1" applyAlignment="1">
      <alignment horizontal="center" vertical="center"/>
    </xf>
    <xf numFmtId="0" fontId="3" fillId="0" borderId="0" xfId="6" applyAlignment="1">
      <alignment horizontal="right" vertical="center"/>
    </xf>
    <xf numFmtId="2" fontId="3" fillId="0" borderId="0" xfId="6" applyNumberFormat="1" applyAlignment="1">
      <alignment vertical="center"/>
    </xf>
    <xf numFmtId="0" fontId="34" fillId="0" borderId="20" xfId="8" applyFont="1" applyFill="1" applyBorder="1" applyAlignment="1">
      <alignment horizontal="left" vertical="center" wrapText="1"/>
    </xf>
    <xf numFmtId="2" fontId="34" fillId="0" borderId="2" xfId="8" applyNumberFormat="1" applyFont="1" applyFill="1" applyBorder="1" applyAlignment="1">
      <alignment horizontal="right" vertical="center"/>
    </xf>
    <xf numFmtId="2" fontId="34" fillId="0" borderId="17" xfId="8" applyNumberFormat="1" applyFont="1" applyFill="1" applyBorder="1" applyAlignment="1">
      <alignment horizontal="right" vertical="center"/>
    </xf>
    <xf numFmtId="43" fontId="34" fillId="5" borderId="20" xfId="19" applyFont="1" applyFill="1" applyBorder="1" applyAlignment="1">
      <alignment horizontal="left" vertical="center" wrapText="1"/>
    </xf>
    <xf numFmtId="0" fontId="35" fillId="6" borderId="39" xfId="8" applyFont="1" applyFill="1" applyBorder="1" applyAlignment="1">
      <alignment horizontal="center" vertical="center"/>
    </xf>
    <xf numFmtId="49" fontId="22" fillId="0" borderId="40" xfId="6" applyNumberFormat="1" applyFont="1" applyFill="1" applyBorder="1" applyAlignment="1" applyProtection="1">
      <alignment horizontal="center" vertical="center"/>
      <protection locked="0"/>
    </xf>
    <xf numFmtId="0" fontId="34" fillId="0" borderId="24" xfId="8" applyFont="1" applyFill="1" applyBorder="1" applyAlignment="1">
      <alignment horizontal="left" vertical="center" wrapText="1"/>
    </xf>
    <xf numFmtId="43" fontId="34" fillId="5" borderId="24" xfId="19" applyFont="1" applyFill="1" applyBorder="1"/>
    <xf numFmtId="0" fontId="34" fillId="0" borderId="17" xfId="8" applyFont="1" applyFill="1" applyBorder="1" applyAlignment="1">
      <alignment horizontal="right" vertical="center"/>
    </xf>
    <xf numFmtId="43" fontId="34" fillId="5" borderId="20" xfId="17" applyNumberFormat="1" applyFont="1" applyFill="1" applyBorder="1" applyAlignment="1">
      <alignment horizontal="center"/>
    </xf>
    <xf numFmtId="43" fontId="34" fillId="5" borderId="20" xfId="17" applyFont="1" applyFill="1" applyBorder="1" applyAlignment="1">
      <alignment horizontal="right"/>
    </xf>
    <xf numFmtId="43" fontId="34" fillId="0" borderId="20" xfId="17" applyFont="1" applyFill="1" applyBorder="1" applyAlignment="1">
      <alignment horizontal="center" vertical="center"/>
    </xf>
    <xf numFmtId="43" fontId="34" fillId="0" borderId="24" xfId="19" applyFont="1" applyFill="1" applyBorder="1" applyAlignment="1">
      <alignment horizontal="center" vertical="center"/>
    </xf>
    <xf numFmtId="43" fontId="34" fillId="5" borderId="41" xfId="19" applyFont="1" applyFill="1" applyBorder="1" applyAlignment="1">
      <alignment vertical="center"/>
    </xf>
    <xf numFmtId="49" fontId="40" fillId="8" borderId="2" xfId="10" applyNumberFormat="1" applyFont="1" applyFill="1" applyBorder="1" applyAlignment="1">
      <alignment horizontal="center" vertical="center"/>
    </xf>
    <xf numFmtId="0" fontId="40" fillId="8" borderId="2" xfId="10" applyFont="1" applyFill="1" applyBorder="1" applyAlignment="1">
      <alignment horizontal="center" vertical="center"/>
    </xf>
    <xf numFmtId="49" fontId="33" fillId="8" borderId="2" xfId="10" applyNumberFormat="1" applyFont="1" applyFill="1" applyBorder="1" applyAlignment="1">
      <alignment vertical="center"/>
    </xf>
    <xf numFmtId="43" fontId="35" fillId="5" borderId="14" xfId="19" applyFont="1" applyFill="1" applyBorder="1" applyAlignment="1">
      <alignment horizontal="left" vertical="center"/>
    </xf>
    <xf numFmtId="2" fontId="34" fillId="0" borderId="20" xfId="8" applyNumberFormat="1" applyFont="1" applyFill="1" applyBorder="1" applyAlignment="1">
      <alignment horizontal="left" vertical="center"/>
    </xf>
    <xf numFmtId="43" fontId="34" fillId="0" borderId="18" xfId="19" applyFont="1" applyFill="1" applyBorder="1" applyAlignment="1">
      <alignment vertical="center"/>
    </xf>
    <xf numFmtId="0" fontId="20" fillId="0" borderId="2" xfId="6" applyFont="1" applyFill="1" applyBorder="1" applyAlignment="1">
      <alignment horizontal="justify" vertical="center" wrapText="1"/>
    </xf>
    <xf numFmtId="0" fontId="20" fillId="0" borderId="2" xfId="6" applyFont="1" applyFill="1" applyBorder="1" applyAlignment="1">
      <alignment horizontal="left" vertical="center" wrapText="1"/>
    </xf>
    <xf numFmtId="0" fontId="35" fillId="7" borderId="39" xfId="0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/>
    </xf>
    <xf numFmtId="0" fontId="41" fillId="0" borderId="29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1" fillId="0" borderId="34" xfId="0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center" wrapText="1"/>
    </xf>
    <xf numFmtId="0" fontId="44" fillId="0" borderId="2" xfId="0" applyFont="1" applyFill="1" applyBorder="1" applyAlignment="1">
      <alignment horizontal="center" vertical="center" wrapText="1"/>
    </xf>
    <xf numFmtId="43" fontId="43" fillId="0" borderId="2" xfId="0" applyNumberFormat="1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right" vertical="center" wrapText="1"/>
    </xf>
    <xf numFmtId="0" fontId="43" fillId="0" borderId="2" xfId="0" applyFont="1" applyFill="1" applyBorder="1" applyAlignment="1">
      <alignment horizontal="center" vertical="center" wrapText="1"/>
    </xf>
    <xf numFmtId="43" fontId="43" fillId="0" borderId="2" xfId="17" applyFont="1" applyFill="1" applyBorder="1" applyAlignment="1">
      <alignment horizontal="center" vertical="center" wrapText="1"/>
    </xf>
    <xf numFmtId="2" fontId="4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43" fontId="43" fillId="9" borderId="2" xfId="17" applyFont="1" applyFill="1" applyBorder="1" applyAlignment="1">
      <alignment horizontal="center" vertical="center" wrapText="1"/>
    </xf>
    <xf numFmtId="43" fontId="41" fillId="9" borderId="2" xfId="17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44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43" fontId="43" fillId="0" borderId="2" xfId="17" applyFont="1" applyFill="1" applyBorder="1" applyAlignment="1">
      <alignment vertical="center"/>
    </xf>
    <xf numFmtId="43" fontId="43" fillId="0" borderId="2" xfId="17" applyFont="1" applyFill="1" applyBorder="1" applyAlignment="1">
      <alignment horizontal="right" vertical="center"/>
    </xf>
    <xf numFmtId="43" fontId="43" fillId="0" borderId="2" xfId="17" applyFont="1" applyFill="1" applyBorder="1" applyAlignment="1">
      <alignment horizontal="right" vertical="center" wrapText="1"/>
    </xf>
    <xf numFmtId="0" fontId="42" fillId="0" borderId="2" xfId="0" applyFont="1" applyFill="1" applyBorder="1" applyAlignment="1">
      <alignment vertical="center" wrapText="1"/>
    </xf>
    <xf numFmtId="43" fontId="42" fillId="0" borderId="2" xfId="17" applyFont="1" applyFill="1" applyBorder="1" applyAlignment="1">
      <alignment vertical="center" wrapText="1"/>
    </xf>
    <xf numFmtId="0" fontId="25" fillId="0" borderId="2" xfId="0" applyFont="1" applyBorder="1" applyAlignment="1">
      <alignment wrapText="1"/>
    </xf>
    <xf numFmtId="0" fontId="44" fillId="0" borderId="2" xfId="0" applyFont="1" applyBorder="1"/>
    <xf numFmtId="2" fontId="4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wrapText="1"/>
    </xf>
    <xf numFmtId="0" fontId="42" fillId="0" borderId="2" xfId="0" applyFont="1" applyBorder="1" applyAlignment="1">
      <alignment vertical="center" wrapText="1"/>
    </xf>
    <xf numFmtId="0" fontId="41" fillId="0" borderId="4" xfId="0" applyFont="1" applyFill="1" applyBorder="1" applyAlignment="1">
      <alignment horizontal="right" vertical="center" wrapText="1"/>
    </xf>
    <xf numFmtId="0" fontId="41" fillId="0" borderId="2" xfId="0" applyFont="1" applyFill="1" applyBorder="1" applyAlignment="1">
      <alignment horizontal="right" vertical="center" wrapText="1"/>
    </xf>
    <xf numFmtId="0" fontId="41" fillId="0" borderId="12" xfId="0" applyFont="1" applyFill="1" applyBorder="1" applyAlignment="1">
      <alignment horizontal="center" vertical="center"/>
    </xf>
    <xf numFmtId="0" fontId="41" fillId="10" borderId="33" xfId="0" applyFont="1" applyFill="1" applyBorder="1" applyAlignment="1">
      <alignment horizontal="center" vertical="center" wrapText="1"/>
    </xf>
    <xf numFmtId="0" fontId="41" fillId="9" borderId="34" xfId="0" applyFont="1" applyFill="1" applyBorder="1" applyAlignment="1">
      <alignment horizontal="center" vertical="center" wrapText="1"/>
    </xf>
    <xf numFmtId="43" fontId="42" fillId="9" borderId="2" xfId="17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43" fontId="41" fillId="9" borderId="2" xfId="17" applyFont="1" applyFill="1" applyBorder="1" applyAlignment="1">
      <alignment horizontal="center" vertical="center" wrapText="1"/>
    </xf>
    <xf numFmtId="43" fontId="41" fillId="9" borderId="33" xfId="17" applyFont="1" applyFill="1" applyBorder="1" applyAlignment="1">
      <alignment horizontal="center" vertical="center"/>
    </xf>
    <xf numFmtId="0" fontId="34" fillId="0" borderId="20" xfId="8" applyFont="1" applyFill="1" applyBorder="1" applyAlignment="1">
      <alignment horizontal="left" vertical="center"/>
    </xf>
    <xf numFmtId="0" fontId="34" fillId="0" borderId="19" xfId="8" applyFont="1" applyFill="1" applyBorder="1" applyAlignment="1">
      <alignment horizontal="center" vertical="center"/>
    </xf>
    <xf numFmtId="0" fontId="34" fillId="0" borderId="16" xfId="8" applyFont="1" applyFill="1" applyBorder="1" applyAlignment="1">
      <alignment horizontal="center" vertical="center"/>
    </xf>
    <xf numFmtId="43" fontId="34" fillId="0" borderId="35" xfId="19" applyFont="1" applyFill="1" applyBorder="1" applyAlignment="1">
      <alignment horizontal="center" vertical="center"/>
    </xf>
    <xf numFmtId="43" fontId="35" fillId="5" borderId="13" xfId="19" applyFont="1" applyFill="1" applyBorder="1" applyAlignment="1">
      <alignment horizontal="center" vertical="center"/>
    </xf>
    <xf numFmtId="0" fontId="18" fillId="0" borderId="44" xfId="7" applyFont="1" applyFill="1" applyBorder="1" applyAlignment="1">
      <alignment wrapText="1"/>
    </xf>
    <xf numFmtId="43" fontId="35" fillId="5" borderId="23" xfId="19" applyFont="1" applyFill="1" applyBorder="1" applyAlignment="1">
      <alignment horizontal="left" vertical="center"/>
    </xf>
    <xf numFmtId="0" fontId="35" fillId="5" borderId="21" xfId="8" applyFont="1" applyFill="1" applyBorder="1" applyAlignment="1">
      <alignment horizontal="center" vertical="center"/>
    </xf>
    <xf numFmtId="43" fontId="35" fillId="5" borderId="22" xfId="19" applyFont="1" applyFill="1" applyBorder="1" applyAlignment="1">
      <alignment horizontal="left" vertical="center"/>
    </xf>
    <xf numFmtId="0" fontId="35" fillId="5" borderId="25" xfId="8" applyFont="1" applyFill="1" applyBorder="1" applyAlignment="1">
      <alignment horizontal="center" vertical="center"/>
    </xf>
    <xf numFmtId="0" fontId="34" fillId="0" borderId="23" xfId="8" applyFont="1" applyFill="1" applyBorder="1" applyAlignment="1">
      <alignment vertical="center"/>
    </xf>
    <xf numFmtId="0" fontId="34" fillId="0" borderId="25" xfId="8" applyFont="1" applyFill="1" applyBorder="1" applyAlignment="1">
      <alignment horizontal="center" vertical="center" wrapText="1"/>
    </xf>
    <xf numFmtId="43" fontId="35" fillId="5" borderId="18" xfId="19" applyFont="1" applyFill="1" applyBorder="1" applyAlignment="1">
      <alignment horizontal="left" vertical="center"/>
    </xf>
    <xf numFmtId="0" fontId="34" fillId="0" borderId="25" xfId="8" applyFont="1" applyFill="1" applyBorder="1" applyAlignment="1">
      <alignment horizontal="left" vertical="center"/>
    </xf>
    <xf numFmtId="0" fontId="35" fillId="0" borderId="25" xfId="8" applyFont="1" applyFill="1" applyBorder="1" applyAlignment="1">
      <alignment horizontal="center" vertical="center" wrapText="1"/>
    </xf>
    <xf numFmtId="2" fontId="34" fillId="0" borderId="23" xfId="8" applyNumberFormat="1" applyFont="1" applyFill="1" applyBorder="1" applyAlignment="1">
      <alignment horizontal="right" vertical="center"/>
    </xf>
    <xf numFmtId="43" fontId="34" fillId="5" borderId="23" xfId="19" applyFont="1" applyFill="1" applyBorder="1" applyAlignment="1">
      <alignment horizontal="center"/>
    </xf>
    <xf numFmtId="0" fontId="35" fillId="5" borderId="19" xfId="8" applyFont="1" applyFill="1" applyBorder="1" applyAlignment="1">
      <alignment horizontal="center" vertical="center"/>
    </xf>
    <xf numFmtId="0" fontId="38" fillId="5" borderId="16" xfId="8" applyFont="1" applyFill="1" applyBorder="1" applyAlignment="1">
      <alignment horizontal="center" vertical="center"/>
    </xf>
    <xf numFmtId="49" fontId="34" fillId="5" borderId="18" xfId="19" applyNumberFormat="1" applyFont="1" applyFill="1" applyBorder="1" applyAlignment="1">
      <alignment horizontal="right" vertical="center"/>
    </xf>
    <xf numFmtId="49" fontId="34" fillId="5" borderId="23" xfId="19" applyNumberFormat="1" applyFont="1" applyFill="1" applyBorder="1" applyAlignment="1">
      <alignment horizontal="right" vertical="center"/>
    </xf>
    <xf numFmtId="0" fontId="26" fillId="0" borderId="45" xfId="6" applyFont="1" applyFill="1" applyBorder="1" applyAlignment="1">
      <alignment horizontal="center" vertical="center"/>
    </xf>
    <xf numFmtId="0" fontId="20" fillId="0" borderId="46" xfId="6" applyFont="1" applyFill="1" applyBorder="1" applyAlignment="1">
      <alignment vertical="center"/>
    </xf>
    <xf numFmtId="2" fontId="20" fillId="0" borderId="47" xfId="6" applyNumberFormat="1" applyFont="1" applyFill="1" applyBorder="1" applyAlignment="1">
      <alignment vertical="center"/>
    </xf>
    <xf numFmtId="49" fontId="19" fillId="3" borderId="3" xfId="6" applyNumberFormat="1" applyFont="1" applyFill="1" applyBorder="1" applyAlignment="1">
      <alignment vertical="center"/>
    </xf>
    <xf numFmtId="2" fontId="19" fillId="3" borderId="5" xfId="6" applyNumberFormat="1" applyFont="1" applyFill="1" applyBorder="1" applyAlignment="1">
      <alignment vertical="center"/>
    </xf>
    <xf numFmtId="0" fontId="20" fillId="0" borderId="20" xfId="6" applyFont="1" applyFill="1" applyBorder="1" applyAlignment="1">
      <alignment horizontal="justify" vertical="center" wrapText="1"/>
    </xf>
    <xf numFmtId="2" fontId="20" fillId="0" borderId="35" xfId="6" applyNumberFormat="1" applyFont="1" applyFill="1" applyBorder="1" applyAlignment="1">
      <alignment horizontal="center" vertical="center"/>
    </xf>
    <xf numFmtId="0" fontId="20" fillId="0" borderId="20" xfId="6" applyFont="1" applyFill="1" applyBorder="1" applyAlignment="1">
      <alignment horizontal="left" vertical="center" wrapText="1"/>
    </xf>
    <xf numFmtId="0" fontId="20" fillId="0" borderId="3" xfId="6" applyFont="1" applyFill="1" applyBorder="1" applyAlignment="1">
      <alignment vertical="center"/>
    </xf>
    <xf numFmtId="2" fontId="20" fillId="0" borderId="5" xfId="6" applyNumberFormat="1" applyFont="1" applyFill="1" applyBorder="1" applyAlignment="1">
      <alignment vertical="center"/>
    </xf>
    <xf numFmtId="0" fontId="20" fillId="0" borderId="3" xfId="6" applyFont="1" applyFill="1" applyBorder="1" applyAlignment="1">
      <alignment horizontal="left" vertical="center"/>
    </xf>
    <xf numFmtId="0" fontId="21" fillId="0" borderId="48" xfId="6" applyFont="1" applyFill="1" applyBorder="1" applyAlignment="1">
      <alignment vertical="center"/>
    </xf>
    <xf numFmtId="2" fontId="21" fillId="0" borderId="49" xfId="6" applyNumberFormat="1" applyFont="1" applyFill="1" applyBorder="1" applyAlignment="1">
      <alignment vertical="center"/>
    </xf>
    <xf numFmtId="0" fontId="20" fillId="0" borderId="50" xfId="6" applyFont="1" applyFill="1" applyBorder="1" applyAlignment="1">
      <alignment vertical="center"/>
    </xf>
    <xf numFmtId="0" fontId="20" fillId="0" borderId="50" xfId="6" applyFont="1" applyFill="1" applyBorder="1" applyAlignment="1">
      <alignment horizontal="right" vertical="center"/>
    </xf>
    <xf numFmtId="2" fontId="20" fillId="0" borderId="50" xfId="6" applyNumberFormat="1" applyFont="1" applyFill="1" applyBorder="1" applyAlignment="1">
      <alignment vertical="center"/>
    </xf>
    <xf numFmtId="0" fontId="20" fillId="0" borderId="50" xfId="6" applyFont="1" applyFill="1" applyBorder="1" applyAlignment="1">
      <alignment horizontal="center" vertical="center"/>
    </xf>
    <xf numFmtId="2" fontId="20" fillId="0" borderId="26" xfId="6" applyNumberFormat="1" applyFont="1" applyFill="1" applyBorder="1" applyAlignment="1">
      <alignment vertical="center"/>
    </xf>
    <xf numFmtId="0" fontId="19" fillId="0" borderId="46" xfId="6" applyFont="1" applyFill="1" applyBorder="1" applyAlignment="1">
      <alignment vertical="center"/>
    </xf>
    <xf numFmtId="0" fontId="20" fillId="0" borderId="28" xfId="6" applyFont="1" applyFill="1" applyBorder="1" applyAlignment="1">
      <alignment vertical="center"/>
    </xf>
    <xf numFmtId="0" fontId="34" fillId="0" borderId="14" xfId="8" applyFont="1" applyFill="1" applyBorder="1" applyAlignment="1">
      <alignment horizontal="left" vertical="center"/>
    </xf>
    <xf numFmtId="43" fontId="34" fillId="0" borderId="2" xfId="19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43" fontId="34" fillId="5" borderId="51" xfId="19" applyFont="1" applyFill="1" applyBorder="1" applyAlignment="1">
      <alignment vertical="center"/>
    </xf>
    <xf numFmtId="43" fontId="38" fillId="5" borderId="27" xfId="19" applyFont="1" applyFill="1" applyBorder="1" applyAlignment="1">
      <alignment vertical="center"/>
    </xf>
    <xf numFmtId="43" fontId="3" fillId="0" borderId="2" xfId="17" applyFont="1" applyFill="1" applyBorder="1" applyAlignment="1">
      <alignment vertical="center" wrapText="1"/>
    </xf>
    <xf numFmtId="0" fontId="35" fillId="5" borderId="2" xfId="8" applyFont="1" applyFill="1" applyBorder="1" applyAlignment="1">
      <alignment horizontal="center" vertical="center"/>
    </xf>
    <xf numFmtId="164" fontId="34" fillId="0" borderId="23" xfId="24" applyNumberFormat="1" applyFont="1" applyFill="1" applyBorder="1"/>
    <xf numFmtId="43" fontId="34" fillId="5" borderId="34" xfId="19" applyFont="1" applyFill="1" applyBorder="1" applyAlignment="1">
      <alignment horizontal="center" vertical="center"/>
    </xf>
    <xf numFmtId="164" fontId="34" fillId="0" borderId="2" xfId="24" applyNumberFormat="1" applyFont="1" applyFill="1" applyBorder="1" applyAlignment="1">
      <alignment vertical="center"/>
    </xf>
    <xf numFmtId="164" fontId="34" fillId="0" borderId="20" xfId="24" applyNumberFormat="1" applyFont="1" applyFill="1" applyBorder="1"/>
    <xf numFmtId="164" fontId="34" fillId="0" borderId="20" xfId="24" applyNumberFormat="1" applyFont="1" applyFill="1" applyBorder="1" applyAlignment="1">
      <alignment horizontal="center"/>
    </xf>
    <xf numFmtId="0" fontId="34" fillId="0" borderId="24" xfId="8" applyFont="1" applyFill="1" applyBorder="1" applyAlignment="1">
      <alignment horizontal="left" vertical="center"/>
    </xf>
    <xf numFmtId="164" fontId="34" fillId="0" borderId="24" xfId="24" applyNumberFormat="1" applyFont="1" applyFill="1" applyBorder="1"/>
    <xf numFmtId="164" fontId="34" fillId="0" borderId="24" xfId="24" applyNumberFormat="1" applyFont="1" applyFill="1" applyBorder="1" applyAlignment="1">
      <alignment horizontal="center"/>
    </xf>
    <xf numFmtId="43" fontId="34" fillId="5" borderId="14" xfId="19" applyFont="1" applyFill="1" applyBorder="1" applyAlignment="1">
      <alignment horizontal="center" vertical="center" wrapText="1"/>
    </xf>
    <xf numFmtId="0" fontId="35" fillId="7" borderId="13" xfId="8" applyFont="1" applyFill="1" applyBorder="1" applyAlignment="1">
      <alignment horizontal="center" vertical="center"/>
    </xf>
    <xf numFmtId="43" fontId="35" fillId="7" borderId="13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left" vertical="center" wrapText="1"/>
    </xf>
    <xf numFmtId="0" fontId="34" fillId="0" borderId="2" xfId="8" applyFont="1" applyFill="1" applyBorder="1" applyAlignment="1">
      <alignment horizontal="center" vertical="center" wrapText="1"/>
    </xf>
    <xf numFmtId="0" fontId="34" fillId="0" borderId="20" xfId="8" applyFont="1" applyFill="1" applyBorder="1" applyAlignment="1">
      <alignment horizontal="center" vertical="center" wrapText="1"/>
    </xf>
    <xf numFmtId="43" fontId="34" fillId="0" borderId="41" xfId="19" applyFont="1" applyFill="1" applyBorder="1" applyAlignment="1">
      <alignment horizontal="center" vertical="center"/>
    </xf>
    <xf numFmtId="43" fontId="34" fillId="5" borderId="14" xfId="19" applyFont="1" applyFill="1" applyBorder="1"/>
    <xf numFmtId="43" fontId="34" fillId="5" borderId="24" xfId="19" applyFont="1" applyFill="1" applyBorder="1" applyAlignment="1">
      <alignment horizontal="center" vertical="center"/>
    </xf>
    <xf numFmtId="0" fontId="34" fillId="0" borderId="26" xfId="8" applyFont="1" applyFill="1" applyBorder="1" applyAlignment="1">
      <alignment horizontal="left" vertical="center"/>
    </xf>
    <xf numFmtId="43" fontId="34" fillId="5" borderId="14" xfId="19" applyFont="1" applyFill="1" applyBorder="1" applyAlignment="1">
      <alignment horizontal="center"/>
    </xf>
    <xf numFmtId="43" fontId="34" fillId="5" borderId="24" xfId="19" applyFont="1" applyFill="1" applyBorder="1" applyAlignment="1">
      <alignment horizontal="center"/>
    </xf>
    <xf numFmtId="43" fontId="34" fillId="0" borderId="14" xfId="19" applyFont="1" applyFill="1" applyBorder="1" applyAlignment="1">
      <alignment horizontal="center" vertical="center" wrapText="1"/>
    </xf>
    <xf numFmtId="43" fontId="34" fillId="0" borderId="13" xfId="19" applyFont="1" applyFill="1" applyBorder="1" applyAlignment="1">
      <alignment horizontal="center" vertical="center"/>
    </xf>
    <xf numFmtId="43" fontId="34" fillId="5" borderId="13" xfId="19" applyFont="1" applyFill="1" applyBorder="1" applyAlignment="1">
      <alignment horizontal="center" vertical="center"/>
    </xf>
    <xf numFmtId="43" fontId="34" fillId="5" borderId="12" xfId="19" applyFont="1" applyFill="1" applyBorder="1" applyAlignment="1">
      <alignment horizontal="center"/>
    </xf>
    <xf numFmtId="43" fontId="35" fillId="5" borderId="27" xfId="19" applyFont="1" applyFill="1" applyBorder="1" applyAlignment="1">
      <alignment horizontal="center" vertical="center"/>
    </xf>
    <xf numFmtId="43" fontId="34" fillId="5" borderId="27" xfId="19" applyFont="1" applyFill="1" applyBorder="1" applyAlignment="1">
      <alignment vertical="center"/>
    </xf>
    <xf numFmtId="43" fontId="35" fillId="5" borderId="27" xfId="19" applyFont="1" applyFill="1" applyBorder="1" applyAlignment="1">
      <alignment vertical="center"/>
    </xf>
    <xf numFmtId="43" fontId="34" fillId="5" borderId="17" xfId="19" applyFont="1" applyFill="1" applyBorder="1"/>
    <xf numFmtId="43" fontId="34" fillId="5" borderId="34" xfId="19" applyFont="1" applyFill="1" applyBorder="1"/>
    <xf numFmtId="43" fontId="37" fillId="5" borderId="14" xfId="19" applyFont="1" applyFill="1" applyBorder="1" applyAlignment="1">
      <alignment horizontal="center" vertical="center"/>
    </xf>
    <xf numFmtId="0" fontId="38" fillId="5" borderId="19" xfId="8" applyFont="1" applyFill="1" applyBorder="1" applyAlignment="1">
      <alignment horizontal="center" vertical="center"/>
    </xf>
    <xf numFmtId="43" fontId="38" fillId="5" borderId="17" xfId="19" applyFont="1" applyFill="1" applyBorder="1" applyAlignment="1">
      <alignment vertical="center"/>
    </xf>
    <xf numFmtId="43" fontId="38" fillId="5" borderId="15" xfId="19" applyFont="1" applyFill="1" applyBorder="1" applyAlignment="1">
      <alignment vertical="center"/>
    </xf>
    <xf numFmtId="0" fontId="38" fillId="5" borderId="2" xfId="8" applyFont="1" applyFill="1" applyBorder="1" applyAlignment="1">
      <alignment horizontal="center" vertical="center"/>
    </xf>
    <xf numFmtId="43" fontId="38" fillId="5" borderId="2" xfId="19" applyFont="1" applyFill="1" applyBorder="1" applyAlignment="1">
      <alignment vertical="center"/>
    </xf>
    <xf numFmtId="0" fontId="38" fillId="5" borderId="17" xfId="8" applyFont="1" applyFill="1" applyBorder="1" applyAlignment="1">
      <alignment horizontal="center" vertical="center"/>
    </xf>
    <xf numFmtId="43" fontId="34" fillId="5" borderId="17" xfId="19" applyFont="1" applyFill="1" applyBorder="1" applyAlignment="1">
      <alignment vertical="center"/>
    </xf>
    <xf numFmtId="43" fontId="34" fillId="0" borderId="2" xfId="19" applyFont="1" applyFill="1" applyBorder="1" applyAlignment="1">
      <alignment horizontal="center" vertical="center"/>
    </xf>
    <xf numFmtId="43" fontId="34" fillId="0" borderId="5" xfId="19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 wrapText="1"/>
    </xf>
    <xf numFmtId="2" fontId="46" fillId="0" borderId="14" xfId="0" applyNumberFormat="1" applyFont="1" applyFill="1" applyBorder="1" applyAlignment="1">
      <alignment horizontal="right" vertical="center" wrapText="1"/>
    </xf>
    <xf numFmtId="43" fontId="46" fillId="0" borderId="2" xfId="17" applyFont="1" applyFill="1" applyBorder="1" applyAlignment="1">
      <alignment horizontal="right" vertical="center" wrapText="1"/>
    </xf>
    <xf numFmtId="43" fontId="34" fillId="0" borderId="2" xfId="19" applyFont="1" applyFill="1" applyBorder="1" applyAlignment="1">
      <alignment vertical="center" wrapText="1"/>
    </xf>
    <xf numFmtId="2" fontId="34" fillId="0" borderId="2" xfId="8" applyNumberFormat="1" applyFont="1" applyFill="1" applyBorder="1" applyAlignment="1">
      <alignment horizontal="left" vertical="center"/>
    </xf>
    <xf numFmtId="0" fontId="35" fillId="0" borderId="19" xfId="8" applyFont="1" applyFill="1" applyBorder="1" applyAlignment="1">
      <alignment horizontal="center" vertical="center" wrapText="1"/>
    </xf>
    <xf numFmtId="43" fontId="34" fillId="0" borderId="2" xfId="19" applyFont="1" applyFill="1" applyBorder="1" applyAlignment="1">
      <alignment horizontal="center" vertical="center"/>
    </xf>
    <xf numFmtId="0" fontId="34" fillId="0" borderId="5" xfId="8" applyFont="1" applyFill="1" applyBorder="1" applyAlignment="1">
      <alignment horizontal="left" vertical="center"/>
    </xf>
    <xf numFmtId="0" fontId="35" fillId="0" borderId="11" xfId="8" applyFont="1" applyFill="1" applyBorder="1" applyAlignment="1">
      <alignment horizontal="center" vertical="center" wrapText="1"/>
    </xf>
    <xf numFmtId="43" fontId="34" fillId="0" borderId="34" xfId="19" applyFont="1" applyFill="1" applyBorder="1" applyAlignment="1">
      <alignment horizontal="center" vertical="center" wrapText="1"/>
    </xf>
    <xf numFmtId="43" fontId="34" fillId="0" borderId="34" xfId="19" applyFont="1" applyFill="1" applyBorder="1" applyAlignment="1">
      <alignment vertical="center"/>
    </xf>
    <xf numFmtId="43" fontId="34" fillId="0" borderId="24" xfId="19" applyFont="1" applyFill="1" applyBorder="1" applyAlignment="1">
      <alignment horizontal="center" vertical="center" wrapText="1"/>
    </xf>
    <xf numFmtId="0" fontId="34" fillId="0" borderId="13" xfId="8" applyFont="1" applyFill="1" applyBorder="1" applyAlignment="1">
      <alignment horizontal="left" vertical="center"/>
    </xf>
    <xf numFmtId="43" fontId="34" fillId="0" borderId="13" xfId="19" applyFont="1" applyFill="1" applyBorder="1" applyAlignment="1">
      <alignment horizontal="center" vertical="center" wrapText="1"/>
    </xf>
    <xf numFmtId="43" fontId="34" fillId="0" borderId="13" xfId="19" applyFont="1" applyFill="1" applyBorder="1" applyAlignment="1">
      <alignment vertical="center"/>
    </xf>
    <xf numFmtId="43" fontId="34" fillId="5" borderId="13" xfId="19" applyFont="1" applyFill="1" applyBorder="1"/>
    <xf numFmtId="0" fontId="35" fillId="0" borderId="13" xfId="8" applyFont="1" applyFill="1" applyBorder="1" applyAlignment="1">
      <alignment horizontal="center" vertical="center" wrapText="1"/>
    </xf>
    <xf numFmtId="43" fontId="34" fillId="0" borderId="5" xfId="19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/>
    </xf>
    <xf numFmtId="0" fontId="34" fillId="5" borderId="47" xfId="8" applyFont="1" applyFill="1" applyBorder="1" applyAlignment="1">
      <alignment horizontal="center" vertical="center"/>
    </xf>
    <xf numFmtId="43" fontId="34" fillId="0" borderId="34" xfId="19" applyFont="1" applyFill="1" applyBorder="1" applyAlignment="1">
      <alignment horizontal="center" vertical="center"/>
    </xf>
    <xf numFmtId="0" fontId="34" fillId="0" borderId="13" xfId="8" applyFont="1" applyFill="1" applyBorder="1" applyAlignment="1">
      <alignment horizontal="left" vertical="center" wrapText="1"/>
    </xf>
    <xf numFmtId="0" fontId="34" fillId="0" borderId="34" xfId="8" applyFont="1" applyFill="1" applyBorder="1" applyAlignment="1">
      <alignment horizontal="left" vertical="center"/>
    </xf>
    <xf numFmtId="0" fontId="48" fillId="0" borderId="25" xfId="8" applyFont="1" applyFill="1" applyBorder="1" applyAlignment="1">
      <alignment horizontal="center" vertical="center"/>
    </xf>
    <xf numFmtId="2" fontId="34" fillId="0" borderId="17" xfId="19" applyNumberFormat="1" applyFont="1" applyFill="1" applyBorder="1" applyAlignment="1">
      <alignment horizontal="right" vertical="center"/>
    </xf>
    <xf numFmtId="0" fontId="34" fillId="5" borderId="2" xfId="8" applyFont="1" applyFill="1" applyBorder="1" applyAlignment="1">
      <alignment horizontal="center" vertical="center"/>
    </xf>
    <xf numFmtId="0" fontId="38" fillId="5" borderId="20" xfId="8" applyFont="1" applyFill="1" applyBorder="1" applyAlignment="1">
      <alignment horizontal="center" vertical="center"/>
    </xf>
    <xf numFmtId="43" fontId="38" fillId="5" borderId="20" xfId="19" applyFont="1" applyFill="1" applyBorder="1" applyAlignment="1">
      <alignment vertical="center"/>
    </xf>
    <xf numFmtId="0" fontId="49" fillId="0" borderId="2" xfId="8" applyFont="1" applyFill="1" applyBorder="1" applyAlignment="1">
      <alignment horizontal="center" vertical="center" wrapText="1"/>
    </xf>
    <xf numFmtId="0" fontId="49" fillId="0" borderId="20" xfId="8" applyFont="1" applyFill="1" applyBorder="1" applyAlignment="1">
      <alignment horizontal="center" vertical="center" wrapText="1"/>
    </xf>
    <xf numFmtId="0" fontId="50" fillId="0" borderId="2" xfId="8" applyFont="1" applyFill="1" applyBorder="1" applyAlignment="1">
      <alignment horizontal="center" vertical="center" wrapText="1"/>
    </xf>
    <xf numFmtId="0" fontId="50" fillId="0" borderId="20" xfId="8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2" fontId="47" fillId="0" borderId="2" xfId="0" applyNumberFormat="1" applyFont="1" applyFill="1" applyBorder="1" applyAlignment="1">
      <alignment horizontal="right" vertical="center" wrapText="1"/>
    </xf>
    <xf numFmtId="43" fontId="34" fillId="0" borderId="2" xfId="19" applyFont="1" applyFill="1" applyBorder="1" applyAlignment="1">
      <alignment horizontal="center" vertical="center"/>
    </xf>
    <xf numFmtId="0" fontId="35" fillId="5" borderId="20" xfId="8" applyFont="1" applyFill="1" applyBorder="1" applyAlignment="1">
      <alignment horizontal="center" vertical="center"/>
    </xf>
    <xf numFmtId="0" fontId="34" fillId="0" borderId="20" xfId="8" applyFont="1" applyFill="1" applyBorder="1" applyAlignment="1">
      <alignment horizontal="center" vertical="center" wrapText="1"/>
    </xf>
    <xf numFmtId="0" fontId="34" fillId="0" borderId="20" xfId="8" applyFont="1" applyFill="1" applyBorder="1" applyAlignment="1">
      <alignment horizontal="center" vertical="center" wrapText="1"/>
    </xf>
    <xf numFmtId="43" fontId="34" fillId="0" borderId="5" xfId="19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/>
    </xf>
    <xf numFmtId="43" fontId="34" fillId="0" borderId="49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vertical="center" wrapText="1"/>
    </xf>
    <xf numFmtId="0" fontId="34" fillId="0" borderId="20" xfId="8" applyFont="1" applyFill="1" applyBorder="1" applyAlignment="1">
      <alignment vertical="center" wrapText="1"/>
    </xf>
    <xf numFmtId="43" fontId="34" fillId="0" borderId="2" xfId="19" applyFont="1" applyFill="1" applyBorder="1" applyAlignment="1">
      <alignment horizontal="center" vertical="center"/>
    </xf>
    <xf numFmtId="0" fontId="35" fillId="0" borderId="20" xfId="8" applyFont="1" applyFill="1" applyBorder="1" applyAlignment="1">
      <alignment horizontal="center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3" fontId="3" fillId="0" borderId="2" xfId="17" applyFont="1" applyFill="1" applyBorder="1" applyAlignment="1">
      <alignment horizontal="center" vertical="center" wrapText="1"/>
    </xf>
    <xf numFmtId="0" fontId="50" fillId="0" borderId="2" xfId="8" applyFont="1" applyFill="1" applyBorder="1" applyAlignment="1">
      <alignment horizontal="left" vertical="center" wrapText="1"/>
    </xf>
    <xf numFmtId="0" fontId="35" fillId="0" borderId="2" xfId="8" applyFont="1" applyFill="1" applyBorder="1" applyAlignment="1">
      <alignment horizontal="center" vertical="center" wrapText="1"/>
    </xf>
    <xf numFmtId="0" fontId="34" fillId="0" borderId="44" xfId="8" applyFont="1" applyFill="1" applyBorder="1" applyAlignment="1">
      <alignment horizontal="center" vertical="center"/>
    </xf>
    <xf numFmtId="0" fontId="34" fillId="0" borderId="47" xfId="8" applyFont="1" applyFill="1" applyBorder="1" applyAlignment="1">
      <alignment horizontal="left" vertical="center"/>
    </xf>
    <xf numFmtId="0" fontId="50" fillId="0" borderId="17" xfId="8" applyFont="1" applyFill="1" applyBorder="1" applyAlignment="1">
      <alignment horizontal="left" vertical="center" wrapText="1"/>
    </xf>
    <xf numFmtId="0" fontId="34" fillId="0" borderId="53" xfId="8" applyFont="1" applyFill="1" applyBorder="1" applyAlignment="1">
      <alignment horizontal="left" vertical="center"/>
    </xf>
    <xf numFmtId="43" fontId="34" fillId="0" borderId="24" xfId="8" applyNumberFormat="1" applyFont="1" applyFill="1" applyBorder="1" applyAlignment="1">
      <alignment vertical="center"/>
    </xf>
    <xf numFmtId="0" fontId="35" fillId="0" borderId="44" xfId="8" applyFont="1" applyFill="1" applyBorder="1" applyAlignment="1">
      <alignment horizontal="center" vertical="center" wrapText="1"/>
    </xf>
    <xf numFmtId="0" fontId="34" fillId="0" borderId="34" xfId="8" applyFont="1" applyFill="1" applyBorder="1" applyAlignment="1">
      <alignment vertical="center"/>
    </xf>
    <xf numFmtId="43" fontId="34" fillId="5" borderId="52" xfId="19" applyFont="1" applyFill="1" applyBorder="1" applyAlignment="1">
      <alignment vertical="center"/>
    </xf>
    <xf numFmtId="43" fontId="34" fillId="0" borderId="14" xfId="8" applyNumberFormat="1" applyFont="1" applyFill="1" applyBorder="1" applyAlignment="1">
      <alignment vertical="center"/>
    </xf>
    <xf numFmtId="0" fontId="35" fillId="0" borderId="54" xfId="8" applyFont="1" applyFill="1" applyBorder="1" applyAlignment="1">
      <alignment horizontal="center" vertical="center" wrapText="1"/>
    </xf>
    <xf numFmtId="43" fontId="34" fillId="0" borderId="42" xfId="8" applyNumberFormat="1" applyFont="1" applyFill="1" applyBorder="1" applyAlignment="1">
      <alignment vertical="center"/>
    </xf>
    <xf numFmtId="43" fontId="34" fillId="5" borderId="55" xfId="19" applyFont="1" applyFill="1" applyBorder="1" applyAlignment="1">
      <alignment vertical="center"/>
    </xf>
    <xf numFmtId="43" fontId="34" fillId="5" borderId="24" xfId="19" applyFont="1" applyFill="1" applyBorder="1" applyAlignment="1">
      <alignment vertical="center"/>
    </xf>
    <xf numFmtId="43" fontId="34" fillId="0" borderId="34" xfId="8" applyNumberFormat="1" applyFont="1" applyFill="1" applyBorder="1" applyAlignment="1">
      <alignment vertical="center"/>
    </xf>
    <xf numFmtId="43" fontId="34" fillId="5" borderId="34" xfId="19" applyFont="1" applyFill="1" applyBorder="1" applyAlignment="1">
      <alignment vertical="center"/>
    </xf>
    <xf numFmtId="0" fontId="35" fillId="0" borderId="14" xfId="8" applyFont="1" applyFill="1" applyBorder="1" applyAlignment="1">
      <alignment horizontal="left" vertical="center" wrapText="1"/>
    </xf>
    <xf numFmtId="0" fontId="35" fillId="0" borderId="14" xfId="8" applyFont="1" applyFill="1" applyBorder="1" applyAlignment="1">
      <alignment horizontal="left" vertical="center"/>
    </xf>
    <xf numFmtId="0" fontId="35" fillId="0" borderId="34" xfId="8" applyFont="1" applyFill="1" applyBorder="1" applyAlignment="1">
      <alignment horizontal="left" vertical="center"/>
    </xf>
    <xf numFmtId="0" fontId="34" fillId="0" borderId="20" xfId="8" applyFont="1" applyFill="1" applyBorder="1" applyAlignment="1">
      <alignment horizontal="center" vertical="center" wrapText="1"/>
    </xf>
    <xf numFmtId="0" fontId="35" fillId="5" borderId="20" xfId="8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/>
    </xf>
    <xf numFmtId="0" fontId="35" fillId="0" borderId="20" xfId="8" applyFont="1" applyFill="1" applyBorder="1" applyAlignment="1">
      <alignment horizontal="center" vertical="center" wrapText="1"/>
    </xf>
    <xf numFmtId="0" fontId="35" fillId="0" borderId="2" xfId="8" applyFont="1" applyFill="1" applyBorder="1" applyAlignment="1">
      <alignment vertical="center"/>
    </xf>
    <xf numFmtId="0" fontId="35" fillId="0" borderId="2" xfId="8" applyFont="1" applyFill="1" applyBorder="1" applyAlignment="1">
      <alignment horizontal="left" vertical="center"/>
    </xf>
    <xf numFmtId="0" fontId="35" fillId="0" borderId="20" xfId="8" applyFont="1" applyFill="1" applyBorder="1" applyAlignment="1">
      <alignment horizontal="left" vertical="center"/>
    </xf>
    <xf numFmtId="0" fontId="35" fillId="0" borderId="2" xfId="8" applyFont="1" applyFill="1" applyBorder="1" applyAlignment="1">
      <alignment horizontal="left" vertical="center" wrapText="1"/>
    </xf>
    <xf numFmtId="0" fontId="51" fillId="5" borderId="2" xfId="8" applyFont="1" applyFill="1" applyBorder="1" applyAlignment="1">
      <alignment vertical="center"/>
    </xf>
    <xf numFmtId="0" fontId="34" fillId="5" borderId="2" xfId="8" applyFont="1" applyFill="1" applyBorder="1" applyAlignment="1">
      <alignment vertical="center"/>
    </xf>
    <xf numFmtId="0" fontId="52" fillId="5" borderId="2" xfId="8" applyFont="1" applyFill="1" applyBorder="1" applyAlignment="1">
      <alignment vertical="center"/>
    </xf>
    <xf numFmtId="0" fontId="34" fillId="0" borderId="2" xfId="8" applyFont="1" applyFill="1" applyBorder="1" applyAlignment="1">
      <alignment horizontal="center" vertical="center" wrapText="1"/>
    </xf>
    <xf numFmtId="0" fontId="34" fillId="0" borderId="2" xfId="8" applyFont="1" applyFill="1" applyBorder="1" applyAlignment="1">
      <alignment horizontal="left" vertical="center"/>
    </xf>
    <xf numFmtId="0" fontId="34" fillId="0" borderId="2" xfId="8" applyFont="1" applyFill="1" applyBorder="1" applyAlignment="1">
      <alignment horizontal="left" vertical="center" wrapText="1"/>
    </xf>
    <xf numFmtId="164" fontId="34" fillId="0" borderId="20" xfId="24" applyNumberFormat="1" applyFont="1" applyFill="1" applyBorder="1" applyAlignment="1">
      <alignment vertical="center"/>
    </xf>
    <xf numFmtId="0" fontId="34" fillId="0" borderId="14" xfId="8" applyFont="1" applyFill="1" applyBorder="1" applyAlignment="1">
      <alignment horizontal="left" vertical="center" wrapText="1"/>
    </xf>
    <xf numFmtId="43" fontId="34" fillId="0" borderId="2" xfId="19" applyFont="1" applyFill="1" applyBorder="1" applyAlignment="1">
      <alignment horizontal="center" vertical="center" wrapText="1"/>
    </xf>
    <xf numFmtId="43" fontId="34" fillId="0" borderId="20" xfId="19" applyFont="1" applyFill="1" applyBorder="1" applyAlignment="1">
      <alignment vertical="center" wrapText="1"/>
    </xf>
    <xf numFmtId="0" fontId="34" fillId="0" borderId="24" xfId="8" applyFont="1" applyFill="1" applyBorder="1" applyAlignment="1">
      <alignment vertical="center"/>
    </xf>
    <xf numFmtId="0" fontId="35" fillId="0" borderId="24" xfId="8" applyFont="1" applyFill="1" applyBorder="1" applyAlignment="1">
      <alignment horizontal="left" vertical="center"/>
    </xf>
    <xf numFmtId="43" fontId="34" fillId="0" borderId="14" xfId="19" applyFont="1" applyFill="1" applyBorder="1" applyAlignment="1">
      <alignment vertical="center" wrapText="1"/>
    </xf>
    <xf numFmtId="0" fontId="35" fillId="0" borderId="13" xfId="8" applyFont="1" applyFill="1" applyBorder="1" applyAlignment="1">
      <alignment vertical="center" wrapText="1"/>
    </xf>
    <xf numFmtId="0" fontId="35" fillId="0" borderId="13" xfId="8" applyFont="1" applyFill="1" applyBorder="1" applyAlignment="1">
      <alignment horizontal="left" vertical="center" wrapText="1"/>
    </xf>
    <xf numFmtId="43" fontId="34" fillId="0" borderId="13" xfId="19" applyFont="1" applyFill="1" applyBorder="1" applyAlignment="1">
      <alignment vertical="center" wrapText="1"/>
    </xf>
    <xf numFmtId="0" fontId="35" fillId="0" borderId="20" xfId="8" applyFont="1" applyFill="1" applyBorder="1" applyAlignment="1">
      <alignment horizontal="center" vertical="center" wrapText="1"/>
    </xf>
    <xf numFmtId="0" fontId="35" fillId="0" borderId="16" xfId="8" applyFont="1" applyFill="1" applyBorder="1" applyAlignment="1">
      <alignment horizontal="center" vertical="center"/>
    </xf>
    <xf numFmtId="0" fontId="35" fillId="0" borderId="13" xfId="8" applyFont="1" applyFill="1" applyBorder="1" applyAlignment="1">
      <alignment horizontal="left" vertical="center"/>
    </xf>
    <xf numFmtId="43" fontId="34" fillId="0" borderId="12" xfId="19" applyFont="1" applyFill="1" applyBorder="1" applyAlignment="1">
      <alignment horizontal="center" vertical="center"/>
    </xf>
    <xf numFmtId="0" fontId="35" fillId="0" borderId="11" xfId="8" applyFont="1" applyFill="1" applyBorder="1" applyAlignment="1">
      <alignment horizontal="center" vertical="center"/>
    </xf>
    <xf numFmtId="0" fontId="34" fillId="0" borderId="13" xfId="8" applyFont="1" applyFill="1" applyBorder="1" applyAlignment="1">
      <alignment vertical="center" wrapText="1"/>
    </xf>
    <xf numFmtId="43" fontId="34" fillId="5" borderId="15" xfId="19" applyFont="1" applyFill="1" applyBorder="1" applyAlignment="1">
      <alignment vertical="center"/>
    </xf>
    <xf numFmtId="0" fontId="34" fillId="5" borderId="20" xfId="8" applyFont="1" applyFill="1" applyBorder="1" applyAlignment="1">
      <alignment horizontal="center" vertical="center"/>
    </xf>
    <xf numFmtId="0" fontId="34" fillId="0" borderId="34" xfId="8" applyFont="1" applyFill="1" applyBorder="1" applyAlignment="1">
      <alignment horizontal="left" vertical="center" wrapText="1"/>
    </xf>
    <xf numFmtId="0" fontId="34" fillId="0" borderId="14" xfId="8" applyFont="1" applyFill="1" applyBorder="1" applyAlignment="1">
      <alignment horizontal="left" vertical="center"/>
    </xf>
    <xf numFmtId="0" fontId="53" fillId="0" borderId="13" xfId="8" applyFont="1" applyFill="1" applyBorder="1" applyAlignment="1">
      <alignment horizontal="center" vertical="center" wrapText="1"/>
    </xf>
    <xf numFmtId="0" fontId="50" fillId="0" borderId="13" xfId="8" applyFont="1" applyFill="1" applyBorder="1" applyAlignment="1">
      <alignment horizontal="left" vertical="center" wrapText="1"/>
    </xf>
    <xf numFmtId="43" fontId="34" fillId="0" borderId="17" xfId="19" applyFont="1" applyFill="1" applyBorder="1" applyAlignment="1">
      <alignment horizontal="center" vertical="center" wrapText="1"/>
    </xf>
    <xf numFmtId="0" fontId="35" fillId="0" borderId="20" xfId="8" applyFont="1" applyFill="1" applyBorder="1" applyAlignment="1">
      <alignment horizontal="left" vertical="center" wrapText="1"/>
    </xf>
    <xf numFmtId="43" fontId="34" fillId="0" borderId="24" xfId="19" applyFont="1" applyFill="1" applyBorder="1" applyAlignment="1">
      <alignment horizontal="center" vertical="center" wrapText="1"/>
    </xf>
    <xf numFmtId="43" fontId="34" fillId="0" borderId="2" xfId="19" applyFont="1" applyFill="1" applyBorder="1" applyAlignment="1">
      <alignment horizontal="center" vertical="center"/>
    </xf>
    <xf numFmtId="2" fontId="34" fillId="0" borderId="24" xfId="19" applyNumberFormat="1" applyFont="1" applyFill="1" applyBorder="1" applyAlignment="1">
      <alignment horizontal="right" vertical="center"/>
    </xf>
    <xf numFmtId="0" fontId="34" fillId="0" borderId="2" xfId="8" applyFont="1" applyFill="1" applyBorder="1" applyAlignment="1">
      <alignment horizontal="left" vertical="center"/>
    </xf>
    <xf numFmtId="0" fontId="34" fillId="0" borderId="14" xfId="8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left" vertical="center" wrapText="1"/>
    </xf>
    <xf numFmtId="43" fontId="34" fillId="0" borderId="24" xfId="19" applyFont="1" applyFill="1" applyBorder="1" applyAlignment="1">
      <alignment vertical="center" wrapText="1"/>
    </xf>
    <xf numFmtId="43" fontId="35" fillId="5" borderId="20" xfId="19" applyFont="1" applyFill="1" applyBorder="1" applyAlignment="1">
      <alignment horizontal="center" vertical="center"/>
    </xf>
    <xf numFmtId="43" fontId="34" fillId="0" borderId="3" xfId="19" applyFont="1" applyFill="1" applyBorder="1" applyAlignment="1">
      <alignment horizontal="center" vertical="center" wrapText="1"/>
    </xf>
    <xf numFmtId="43" fontId="34" fillId="0" borderId="5" xfId="19" applyFont="1" applyFill="1" applyBorder="1" applyAlignment="1">
      <alignment horizontal="center" vertical="center" wrapText="1"/>
    </xf>
    <xf numFmtId="0" fontId="34" fillId="0" borderId="2" xfId="8" applyFont="1" applyFill="1" applyBorder="1" applyAlignment="1">
      <alignment horizontal="left" vertical="center"/>
    </xf>
    <xf numFmtId="43" fontId="34" fillId="5" borderId="20" xfId="19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/>
    </xf>
    <xf numFmtId="0" fontId="35" fillId="5" borderId="2" xfId="8" applyFont="1" applyFill="1" applyBorder="1" applyAlignment="1">
      <alignment horizontal="center" vertical="center" wrapText="1"/>
    </xf>
    <xf numFmtId="0" fontId="35" fillId="5" borderId="14" xfId="8" applyFont="1" applyFill="1" applyBorder="1" applyAlignment="1">
      <alignment horizontal="center" vertical="center" wrapText="1"/>
    </xf>
    <xf numFmtId="0" fontId="35" fillId="5" borderId="19" xfId="8" applyFont="1" applyFill="1" applyBorder="1" applyAlignment="1">
      <alignment horizontal="center" vertical="center" wrapText="1"/>
    </xf>
    <xf numFmtId="0" fontId="35" fillId="5" borderId="20" xfId="8" applyFont="1" applyFill="1" applyBorder="1" applyAlignment="1">
      <alignment horizontal="center" vertical="center" wrapText="1"/>
    </xf>
    <xf numFmtId="43" fontId="34" fillId="5" borderId="2" xfId="19" applyFont="1" applyFill="1" applyBorder="1" applyAlignment="1">
      <alignment horizontal="left" vertical="center"/>
    </xf>
    <xf numFmtId="0" fontId="34" fillId="0" borderId="2" xfId="8" applyFont="1" applyFill="1" applyBorder="1" applyAlignment="1">
      <alignment horizontal="left" vertical="center"/>
    </xf>
    <xf numFmtId="0" fontId="35" fillId="0" borderId="47" xfId="8" applyFont="1" applyFill="1" applyBorder="1" applyAlignment="1">
      <alignment horizontal="center" vertical="center" wrapText="1"/>
    </xf>
    <xf numFmtId="43" fontId="34" fillId="0" borderId="2" xfId="19" applyFont="1" applyFill="1" applyBorder="1" applyAlignment="1">
      <alignment horizontal="center" vertical="center"/>
    </xf>
    <xf numFmtId="0" fontId="35" fillId="5" borderId="20" xfId="8" applyFont="1" applyFill="1" applyBorder="1" applyAlignment="1">
      <alignment horizontal="center" vertical="center"/>
    </xf>
    <xf numFmtId="43" fontId="34" fillId="0" borderId="49" xfId="19" applyFont="1" applyFill="1" applyBorder="1" applyAlignment="1">
      <alignment horizontal="center" vertical="center"/>
    </xf>
    <xf numFmtId="43" fontId="34" fillId="5" borderId="2" xfId="19" applyFont="1" applyFill="1" applyBorder="1" applyAlignment="1">
      <alignment horizontal="center" vertical="center"/>
    </xf>
    <xf numFmtId="0" fontId="50" fillId="0" borderId="20" xfId="8" applyFont="1" applyFill="1" applyBorder="1" applyAlignment="1">
      <alignment horizontal="left" vertical="center" wrapText="1"/>
    </xf>
    <xf numFmtId="0" fontId="50" fillId="0" borderId="14" xfId="8" applyFont="1" applyFill="1" applyBorder="1" applyAlignment="1">
      <alignment horizontal="left" vertical="center" wrapText="1"/>
    </xf>
    <xf numFmtId="0" fontId="53" fillId="0" borderId="13" xfId="8" applyFont="1" applyFill="1" applyBorder="1" applyAlignment="1">
      <alignment horizontal="left" vertical="center" wrapText="1"/>
    </xf>
    <xf numFmtId="0" fontId="34" fillId="0" borderId="17" xfId="8" applyFont="1" applyFill="1" applyBorder="1" applyAlignment="1">
      <alignment horizontal="left" vertical="center"/>
    </xf>
    <xf numFmtId="0" fontId="41" fillId="0" borderId="20" xfId="0" applyFont="1" applyFill="1" applyBorder="1" applyAlignment="1">
      <alignment horizontal="center" vertical="center"/>
    </xf>
    <xf numFmtId="43" fontId="34" fillId="5" borderId="45" xfId="19" applyFont="1" applyFill="1" applyBorder="1" applyAlignment="1">
      <alignment horizontal="center" vertical="center"/>
    </xf>
    <xf numFmtId="43" fontId="34" fillId="5" borderId="56" xfId="19" applyFont="1" applyFill="1" applyBorder="1" applyAlignment="1">
      <alignment horizontal="center" vertical="center"/>
    </xf>
    <xf numFmtId="43" fontId="34" fillId="5" borderId="33" xfId="19" applyFont="1" applyFill="1" applyBorder="1" applyAlignment="1">
      <alignment horizontal="center" vertical="center"/>
    </xf>
    <xf numFmtId="2" fontId="27" fillId="5" borderId="57" xfId="11" applyNumberFormat="1" applyFont="1" applyFill="1" applyBorder="1" applyAlignment="1">
      <alignment horizontal="center" vertical="center" wrapText="1"/>
    </xf>
    <xf numFmtId="0" fontId="35" fillId="11" borderId="11" xfId="8" applyFont="1" applyFill="1" applyBorder="1" applyAlignment="1">
      <alignment horizontal="center" vertical="center"/>
    </xf>
    <xf numFmtId="0" fontId="34" fillId="11" borderId="16" xfId="8" applyFont="1" applyFill="1" applyBorder="1" applyAlignment="1">
      <alignment horizontal="center" vertical="center"/>
    </xf>
    <xf numFmtId="43" fontId="34" fillId="11" borderId="14" xfId="19" applyFont="1" applyFill="1" applyBorder="1" applyAlignment="1">
      <alignment vertical="center"/>
    </xf>
    <xf numFmtId="43" fontId="34" fillId="11" borderId="14" xfId="19" applyFont="1" applyFill="1" applyBorder="1" applyAlignment="1">
      <alignment horizontal="center" vertical="center"/>
    </xf>
    <xf numFmtId="0" fontId="34" fillId="11" borderId="14" xfId="8" applyFont="1" applyFill="1" applyBorder="1" applyAlignment="1">
      <alignment horizontal="center" vertical="center"/>
    </xf>
    <xf numFmtId="0" fontId="34" fillId="11" borderId="18" xfId="8" applyFont="1" applyFill="1" applyBorder="1" applyAlignment="1">
      <alignment horizontal="center" vertical="center"/>
    </xf>
    <xf numFmtId="49" fontId="28" fillId="11" borderId="58" xfId="11" applyNumberFormat="1" applyFont="1" applyFill="1" applyBorder="1" applyAlignment="1">
      <alignment horizontal="center" vertical="center"/>
    </xf>
    <xf numFmtId="43" fontId="34" fillId="11" borderId="3" xfId="19" applyFont="1" applyFill="1" applyBorder="1" applyAlignment="1">
      <alignment vertical="center"/>
    </xf>
    <xf numFmtId="43" fontId="34" fillId="11" borderId="4" xfId="19" applyFont="1" applyFill="1" applyBorder="1" applyAlignment="1">
      <alignment vertical="center"/>
    </xf>
    <xf numFmtId="43" fontId="34" fillId="11" borderId="51" xfId="19" applyFont="1" applyFill="1" applyBorder="1" applyAlignment="1">
      <alignment vertical="center"/>
    </xf>
    <xf numFmtId="49" fontId="27" fillId="11" borderId="58" xfId="11" applyNumberFormat="1" applyFont="1" applyFill="1" applyBorder="1" applyAlignment="1">
      <alignment horizontal="center" vertical="center"/>
    </xf>
    <xf numFmtId="2" fontId="27" fillId="11" borderId="59" xfId="11" applyNumberFormat="1" applyFont="1" applyFill="1" applyBorder="1" applyAlignment="1">
      <alignment horizontal="right" vertical="center"/>
    </xf>
    <xf numFmtId="2" fontId="27" fillId="11" borderId="60" xfId="11" applyNumberFormat="1" applyFont="1" applyFill="1" applyBorder="1" applyAlignment="1">
      <alignment horizontal="right" vertical="center" wrapText="1"/>
    </xf>
    <xf numFmtId="2" fontId="27" fillId="11" borderId="2" xfId="11" applyNumberFormat="1" applyFont="1" applyFill="1" applyBorder="1" applyAlignment="1">
      <alignment horizontal="right" vertical="center"/>
    </xf>
    <xf numFmtId="2" fontId="27" fillId="11" borderId="2" xfId="11" applyNumberFormat="1" applyFont="1" applyFill="1" applyBorder="1" applyAlignment="1">
      <alignment horizontal="right" vertical="center" wrapText="1"/>
    </xf>
    <xf numFmtId="43" fontId="34" fillId="11" borderId="2" xfId="19" applyFont="1" applyFill="1" applyBorder="1" applyAlignment="1">
      <alignment vertical="center"/>
    </xf>
    <xf numFmtId="2" fontId="34" fillId="11" borderId="2" xfId="8" applyNumberFormat="1" applyFont="1" applyFill="1" applyBorder="1" applyAlignment="1">
      <alignment vertical="center"/>
    </xf>
    <xf numFmtId="43" fontId="34" fillId="11" borderId="23" xfId="19" applyFont="1" applyFill="1" applyBorder="1" applyAlignment="1">
      <alignment vertical="center"/>
    </xf>
    <xf numFmtId="43" fontId="34" fillId="11" borderId="4" xfId="19" applyFont="1" applyFill="1" applyBorder="1" applyAlignment="1">
      <alignment horizontal="center" vertical="center"/>
    </xf>
    <xf numFmtId="2" fontId="27" fillId="11" borderId="61" xfId="11" applyNumberFormat="1" applyFont="1" applyFill="1" applyBorder="1" applyAlignment="1">
      <alignment horizontal="center" vertical="center" wrapText="1"/>
    </xf>
    <xf numFmtId="2" fontId="28" fillId="11" borderId="57" xfId="11" applyNumberFormat="1" applyFont="1" applyFill="1" applyBorder="1" applyAlignment="1">
      <alignment horizontal="center" vertical="center" wrapText="1"/>
    </xf>
    <xf numFmtId="2" fontId="27" fillId="11" borderId="57" xfId="11" applyNumberFormat="1" applyFont="1" applyFill="1" applyBorder="1" applyAlignment="1">
      <alignment horizontal="center" vertical="center" wrapText="1"/>
    </xf>
    <xf numFmtId="2" fontId="27" fillId="11" borderId="62" xfId="11" applyNumberFormat="1" applyFont="1" applyFill="1" applyBorder="1" applyAlignment="1">
      <alignment horizontal="right" vertical="center"/>
    </xf>
    <xf numFmtId="2" fontId="27" fillId="11" borderId="57" xfId="11" applyNumberFormat="1" applyFont="1" applyFill="1" applyBorder="1" applyAlignment="1">
      <alignment horizontal="right" vertical="center" wrapText="1"/>
    </xf>
    <xf numFmtId="2" fontId="28" fillId="11" borderId="63" xfId="11" applyNumberFormat="1" applyFont="1" applyFill="1" applyBorder="1" applyAlignment="1">
      <alignment horizontal="center" vertical="center" wrapText="1"/>
    </xf>
    <xf numFmtId="2" fontId="28" fillId="11" borderId="64" xfId="11" applyNumberFormat="1" applyFont="1" applyFill="1" applyBorder="1" applyAlignment="1">
      <alignment horizontal="center" vertical="center" wrapText="1"/>
    </xf>
    <xf numFmtId="2" fontId="28" fillId="11" borderId="65" xfId="11" applyNumberFormat="1" applyFont="1" applyFill="1" applyBorder="1" applyAlignment="1">
      <alignment horizontal="center" vertical="center" wrapText="1"/>
    </xf>
    <xf numFmtId="2" fontId="28" fillId="11" borderId="14" xfId="11" applyNumberFormat="1" applyFont="1" applyFill="1" applyBorder="1" applyAlignment="1">
      <alignment horizontal="center" vertical="center" wrapText="1"/>
    </xf>
    <xf numFmtId="2" fontId="28" fillId="11" borderId="61" xfId="11" applyNumberFormat="1" applyFont="1" applyFill="1" applyBorder="1" applyAlignment="1">
      <alignment horizontal="center" vertical="center" wrapText="1"/>
    </xf>
    <xf numFmtId="0" fontId="31" fillId="11" borderId="61" xfId="11" applyFill="1" applyBorder="1" applyAlignment="1"/>
    <xf numFmtId="164" fontId="27" fillId="11" borderId="66" xfId="20" applyFont="1" applyFill="1" applyBorder="1" applyAlignment="1">
      <alignment horizontal="center" vertical="center"/>
    </xf>
    <xf numFmtId="4" fontId="27" fillId="11" borderId="67" xfId="20" applyNumberFormat="1" applyFont="1" applyFill="1" applyBorder="1" applyAlignment="1">
      <alignment horizontal="right" vertical="center"/>
    </xf>
    <xf numFmtId="2" fontId="27" fillId="11" borderId="62" xfId="11" applyNumberFormat="1" applyFont="1" applyFill="1" applyBorder="1" applyAlignment="1">
      <alignment horizontal="center" vertical="center"/>
    </xf>
    <xf numFmtId="2" fontId="27" fillId="11" borderId="61" xfId="11" applyNumberFormat="1" applyFont="1" applyFill="1" applyBorder="1" applyAlignment="1">
      <alignment horizontal="center" vertical="center"/>
    </xf>
    <xf numFmtId="0" fontId="35" fillId="11" borderId="25" xfId="8" applyFont="1" applyFill="1" applyBorder="1" applyAlignment="1">
      <alignment horizontal="center" vertical="center"/>
    </xf>
    <xf numFmtId="0" fontId="35" fillId="11" borderId="25" xfId="8" applyFont="1" applyFill="1" applyBorder="1" applyAlignment="1">
      <alignment horizontal="center" vertical="center" wrapText="1"/>
    </xf>
    <xf numFmtId="166" fontId="34" fillId="11" borderId="2" xfId="19" applyNumberFormat="1" applyFont="1" applyFill="1" applyBorder="1" applyAlignment="1">
      <alignment vertical="center"/>
    </xf>
    <xf numFmtId="43" fontId="34" fillId="11" borderId="20" xfId="19" applyFont="1" applyFill="1" applyBorder="1" applyAlignment="1">
      <alignment horizontal="center" vertical="center"/>
    </xf>
    <xf numFmtId="166" fontId="34" fillId="11" borderId="20" xfId="19" applyNumberFormat="1" applyFont="1" applyFill="1" applyBorder="1" applyAlignment="1">
      <alignment horizontal="center" vertical="center"/>
    </xf>
    <xf numFmtId="2" fontId="34" fillId="11" borderId="20" xfId="8" applyNumberFormat="1" applyFont="1" applyFill="1" applyBorder="1" applyAlignment="1">
      <alignment horizontal="right" vertical="center"/>
    </xf>
    <xf numFmtId="43" fontId="34" fillId="11" borderId="2" xfId="19" applyFont="1" applyFill="1" applyBorder="1" applyAlignment="1">
      <alignment horizontal="center" vertical="center"/>
    </xf>
    <xf numFmtId="2" fontId="34" fillId="11" borderId="2" xfId="8" applyNumberFormat="1" applyFont="1" applyFill="1" applyBorder="1" applyAlignment="1">
      <alignment horizontal="right" vertical="center"/>
    </xf>
    <xf numFmtId="166" fontId="34" fillId="11" borderId="4" xfId="19" applyNumberFormat="1" applyFont="1" applyFill="1" applyBorder="1" applyAlignment="1">
      <alignment vertical="center"/>
    </xf>
    <xf numFmtId="0" fontId="34" fillId="11" borderId="28" xfId="8" applyFont="1" applyFill="1" applyBorder="1" applyAlignment="1">
      <alignment horizontal="center" vertical="center"/>
    </xf>
    <xf numFmtId="0" fontId="34" fillId="11" borderId="2" xfId="8" applyFont="1" applyFill="1" applyBorder="1" applyAlignment="1">
      <alignment vertical="center"/>
    </xf>
    <xf numFmtId="43" fontId="34" fillId="11" borderId="2" xfId="8" applyNumberFormat="1" applyFont="1" applyFill="1" applyBorder="1" applyAlignment="1">
      <alignment vertical="center"/>
    </xf>
    <xf numFmtId="43" fontId="34" fillId="11" borderId="5" xfId="19" applyFont="1" applyFill="1" applyBorder="1" applyAlignment="1">
      <alignment vertical="center"/>
    </xf>
    <xf numFmtId="43" fontId="34" fillId="11" borderId="4" xfId="19" applyNumberFormat="1" applyFont="1" applyFill="1" applyBorder="1" applyAlignment="1">
      <alignment vertical="center"/>
    </xf>
    <xf numFmtId="0" fontId="34" fillId="11" borderId="0" xfId="8" applyFont="1" applyFill="1" applyBorder="1" applyAlignment="1">
      <alignment vertical="center"/>
    </xf>
    <xf numFmtId="43" fontId="36" fillId="0" borderId="13" xfId="19" applyFont="1" applyFill="1" applyBorder="1" applyAlignment="1">
      <alignment horizontal="center" vertical="center"/>
    </xf>
    <xf numFmtId="43" fontId="35" fillId="0" borderId="12" xfId="19" applyFont="1" applyFill="1" applyBorder="1" applyAlignment="1">
      <alignment horizontal="center" vertical="center"/>
    </xf>
    <xf numFmtId="2" fontId="34" fillId="11" borderId="14" xfId="8" applyNumberFormat="1" applyFont="1" applyFill="1" applyBorder="1" applyAlignment="1">
      <alignment horizontal="right" vertical="center"/>
    </xf>
    <xf numFmtId="2" fontId="34" fillId="11" borderId="18" xfId="8" applyNumberFormat="1" applyFont="1" applyFill="1" applyBorder="1" applyAlignment="1">
      <alignment horizontal="right" vertical="center"/>
    </xf>
    <xf numFmtId="172" fontId="34" fillId="11" borderId="2" xfId="8" applyNumberFormat="1" applyFont="1" applyFill="1" applyBorder="1" applyAlignment="1">
      <alignment vertical="center"/>
    </xf>
    <xf numFmtId="43" fontId="36" fillId="11" borderId="4" xfId="19" applyFont="1" applyFill="1" applyBorder="1" applyAlignment="1">
      <alignment vertical="center" wrapText="1"/>
    </xf>
    <xf numFmtId="43" fontId="36" fillId="11" borderId="51" xfId="19" applyFont="1" applyFill="1" applyBorder="1" applyAlignment="1">
      <alignment vertical="center" wrapText="1"/>
    </xf>
    <xf numFmtId="43" fontId="34" fillId="11" borderId="14" xfId="19" applyFont="1" applyFill="1" applyBorder="1" applyAlignment="1">
      <alignment horizontal="left" vertical="center" wrapText="1"/>
    </xf>
    <xf numFmtId="166" fontId="34" fillId="11" borderId="14" xfId="19" applyNumberFormat="1" applyFont="1" applyFill="1" applyBorder="1" applyAlignment="1">
      <alignment horizontal="left" vertical="center" wrapText="1"/>
    </xf>
    <xf numFmtId="166" fontId="37" fillId="11" borderId="4" xfId="19" applyNumberFormat="1" applyFont="1" applyFill="1" applyBorder="1" applyAlignment="1">
      <alignment vertical="center" wrapText="1"/>
    </xf>
    <xf numFmtId="43" fontId="37" fillId="11" borderId="4" xfId="19" applyFont="1" applyFill="1" applyBorder="1" applyAlignment="1">
      <alignment vertical="center" wrapText="1"/>
    </xf>
    <xf numFmtId="43" fontId="37" fillId="11" borderId="3" xfId="19" applyFont="1" applyFill="1" applyBorder="1" applyAlignment="1">
      <alignment vertical="center" wrapText="1"/>
    </xf>
    <xf numFmtId="43" fontId="37" fillId="11" borderId="51" xfId="19" applyFont="1" applyFill="1" applyBorder="1" applyAlignment="1">
      <alignment vertical="center" wrapText="1"/>
    </xf>
    <xf numFmtId="43" fontId="34" fillId="11" borderId="0" xfId="8" applyNumberFormat="1" applyFont="1" applyFill="1" applyBorder="1" applyAlignment="1">
      <alignment vertical="center"/>
    </xf>
    <xf numFmtId="43" fontId="34" fillId="5" borderId="48" xfId="19" applyFont="1" applyFill="1" applyBorder="1" applyAlignment="1">
      <alignment vertical="center" wrapText="1"/>
    </xf>
    <xf numFmtId="43" fontId="34" fillId="5" borderId="38" xfId="19" applyFont="1" applyFill="1" applyBorder="1" applyAlignment="1">
      <alignment vertical="center" wrapText="1"/>
    </xf>
    <xf numFmtId="43" fontId="34" fillId="5" borderId="49" xfId="19" applyFont="1" applyFill="1" applyBorder="1" applyAlignment="1">
      <alignment vertical="center" wrapText="1"/>
    </xf>
    <xf numFmtId="0" fontId="35" fillId="11" borderId="16" xfId="8" applyFont="1" applyFill="1" applyBorder="1" applyAlignment="1">
      <alignment horizontal="center" vertical="center"/>
    </xf>
    <xf numFmtId="43" fontId="36" fillId="11" borderId="14" xfId="19" applyFont="1" applyFill="1" applyBorder="1" applyAlignment="1">
      <alignment horizontal="left" vertical="center" wrapText="1"/>
    </xf>
    <xf numFmtId="43" fontId="36" fillId="11" borderId="14" xfId="19" applyFont="1" applyFill="1" applyBorder="1" applyAlignment="1">
      <alignment horizontal="center" vertical="center"/>
    </xf>
    <xf numFmtId="43" fontId="35" fillId="11" borderId="18" xfId="19" applyFont="1" applyFill="1" applyBorder="1" applyAlignment="1">
      <alignment horizontal="center" vertical="center"/>
    </xf>
    <xf numFmtId="43" fontId="36" fillId="11" borderId="2" xfId="19" applyFont="1" applyFill="1" applyBorder="1" applyAlignment="1">
      <alignment horizontal="left" vertical="center" wrapText="1"/>
    </xf>
    <xf numFmtId="43" fontId="36" fillId="11" borderId="2" xfId="19" applyFont="1" applyFill="1" applyBorder="1" applyAlignment="1">
      <alignment horizontal="center" vertical="center"/>
    </xf>
    <xf numFmtId="43" fontId="35" fillId="11" borderId="23" xfId="19" applyFont="1" applyFill="1" applyBorder="1" applyAlignment="1">
      <alignment horizontal="center" vertical="center"/>
    </xf>
    <xf numFmtId="0" fontId="35" fillId="11" borderId="21" xfId="8" applyFont="1" applyFill="1" applyBorder="1" applyAlignment="1">
      <alignment horizontal="center" vertical="center"/>
    </xf>
    <xf numFmtId="43" fontId="36" fillId="11" borderId="20" xfId="19" applyFont="1" applyFill="1" applyBorder="1" applyAlignment="1">
      <alignment horizontal="left" vertical="center" wrapText="1"/>
    </xf>
    <xf numFmtId="43" fontId="36" fillId="11" borderId="20" xfId="19" applyFont="1" applyFill="1" applyBorder="1" applyAlignment="1">
      <alignment horizontal="center" vertical="center"/>
    </xf>
    <xf numFmtId="43" fontId="35" fillId="11" borderId="22" xfId="19" applyFont="1" applyFill="1" applyBorder="1" applyAlignment="1">
      <alignment horizontal="center" vertical="center"/>
    </xf>
    <xf numFmtId="43" fontId="36" fillId="11" borderId="13" xfId="19" applyFont="1" applyFill="1" applyBorder="1" applyAlignment="1">
      <alignment horizontal="center" vertical="center"/>
    </xf>
    <xf numFmtId="43" fontId="35" fillId="11" borderId="12" xfId="19" applyFont="1" applyFill="1" applyBorder="1" applyAlignment="1">
      <alignment vertical="center"/>
    </xf>
    <xf numFmtId="0" fontId="34" fillId="11" borderId="25" xfId="8" applyFont="1" applyFill="1" applyBorder="1" applyAlignment="1">
      <alignment horizontal="center" vertical="center"/>
    </xf>
    <xf numFmtId="43" fontId="35" fillId="0" borderId="12" xfId="19" applyFont="1" applyFill="1" applyBorder="1" applyAlignment="1">
      <alignment vertical="center"/>
    </xf>
    <xf numFmtId="0" fontId="34" fillId="0" borderId="25" xfId="8" applyFont="1" applyFill="1" applyBorder="1" applyAlignment="1">
      <alignment horizontal="center" vertical="center"/>
    </xf>
    <xf numFmtId="0" fontId="34" fillId="5" borderId="19" xfId="8" applyFont="1" applyFill="1" applyBorder="1" applyAlignment="1">
      <alignment horizontal="center" vertical="center"/>
    </xf>
    <xf numFmtId="0" fontId="34" fillId="12" borderId="19" xfId="8" applyFont="1" applyFill="1" applyBorder="1" applyAlignment="1">
      <alignment horizontal="center" vertical="center"/>
    </xf>
    <xf numFmtId="43" fontId="34" fillId="12" borderId="45" xfId="19" applyFont="1" applyFill="1" applyBorder="1" applyAlignment="1">
      <alignment horizontal="center" vertical="center"/>
    </xf>
    <xf numFmtId="43" fontId="34" fillId="12" borderId="56" xfId="19" applyFont="1" applyFill="1" applyBorder="1" applyAlignment="1">
      <alignment horizontal="center" vertical="center"/>
    </xf>
    <xf numFmtId="43" fontId="34" fillId="12" borderId="33" xfId="19" applyFont="1" applyFill="1" applyBorder="1" applyAlignment="1">
      <alignment horizontal="center" vertical="center"/>
    </xf>
    <xf numFmtId="43" fontId="34" fillId="12" borderId="17" xfId="19" applyFont="1" applyFill="1" applyBorder="1" applyAlignment="1">
      <alignment vertical="center"/>
    </xf>
    <xf numFmtId="43" fontId="34" fillId="12" borderId="15" xfId="19" applyFont="1" applyFill="1" applyBorder="1" applyAlignment="1">
      <alignment vertical="center"/>
    </xf>
    <xf numFmtId="0" fontId="35" fillId="13" borderId="11" xfId="8" applyFont="1" applyFill="1" applyBorder="1" applyAlignment="1">
      <alignment horizontal="center" vertical="center"/>
    </xf>
    <xf numFmtId="43" fontId="36" fillId="13" borderId="13" xfId="19" applyFont="1" applyFill="1" applyBorder="1" applyAlignment="1">
      <alignment horizontal="center" vertical="center"/>
    </xf>
    <xf numFmtId="43" fontId="35" fillId="13" borderId="12" xfId="19" applyFont="1" applyFill="1" applyBorder="1" applyAlignment="1">
      <alignment vertical="center"/>
    </xf>
    <xf numFmtId="0" fontId="34" fillId="13" borderId="25" xfId="8" applyFont="1" applyFill="1" applyBorder="1" applyAlignment="1">
      <alignment horizontal="center" vertical="center"/>
    </xf>
    <xf numFmtId="43" fontId="34" fillId="13" borderId="2" xfId="19" applyFont="1" applyFill="1" applyBorder="1" applyAlignment="1">
      <alignment vertical="center"/>
    </xf>
    <xf numFmtId="43" fontId="34" fillId="13" borderId="23" xfId="19" applyFont="1" applyFill="1" applyBorder="1" applyAlignment="1">
      <alignment vertical="center"/>
    </xf>
    <xf numFmtId="0" fontId="34" fillId="13" borderId="21" xfId="8" applyFont="1" applyFill="1" applyBorder="1" applyAlignment="1">
      <alignment horizontal="center" vertical="center"/>
    </xf>
    <xf numFmtId="43" fontId="34" fillId="13" borderId="20" xfId="19" applyFont="1" applyFill="1" applyBorder="1" applyAlignment="1">
      <alignment vertical="center"/>
    </xf>
    <xf numFmtId="43" fontId="34" fillId="13" borderId="22" xfId="19" applyFont="1" applyFill="1" applyBorder="1" applyAlignment="1">
      <alignment vertical="center"/>
    </xf>
    <xf numFmtId="0" fontId="34" fillId="13" borderId="2" xfId="8" applyFont="1" applyFill="1" applyBorder="1" applyAlignment="1">
      <alignment horizontal="center" vertical="center"/>
    </xf>
    <xf numFmtId="43" fontId="35" fillId="7" borderId="32" xfId="19" applyFont="1" applyFill="1" applyBorder="1" applyAlignment="1">
      <alignment vertical="center"/>
    </xf>
    <xf numFmtId="49" fontId="27" fillId="11" borderId="19" xfId="11" applyNumberFormat="1" applyFont="1" applyFill="1" applyBorder="1" applyAlignment="1">
      <alignment horizontal="center" vertical="center"/>
    </xf>
    <xf numFmtId="2" fontId="27" fillId="11" borderId="0" xfId="11" applyNumberFormat="1" applyFont="1" applyFill="1" applyBorder="1" applyAlignment="1">
      <alignment horizontal="center" vertical="center" wrapText="1"/>
    </xf>
    <xf numFmtId="2" fontId="28" fillId="11" borderId="0" xfId="11" applyNumberFormat="1" applyFont="1" applyFill="1" applyBorder="1" applyAlignment="1">
      <alignment horizontal="center" vertical="center" wrapText="1"/>
    </xf>
    <xf numFmtId="0" fontId="31" fillId="11" borderId="0" xfId="11" applyFill="1" applyBorder="1" applyAlignment="1"/>
    <xf numFmtId="164" fontId="27" fillId="11" borderId="0" xfId="20" applyFont="1" applyFill="1" applyBorder="1" applyAlignment="1">
      <alignment horizontal="center" vertical="center"/>
    </xf>
    <xf numFmtId="4" fontId="27" fillId="11" borderId="0" xfId="20" applyNumberFormat="1" applyFont="1" applyFill="1" applyBorder="1" applyAlignment="1">
      <alignment horizontal="right" vertical="center"/>
    </xf>
    <xf numFmtId="49" fontId="27" fillId="11" borderId="68" xfId="11" applyNumberFormat="1" applyFont="1" applyFill="1" applyBorder="1" applyAlignment="1">
      <alignment horizontal="center" vertical="center"/>
    </xf>
    <xf numFmtId="2" fontId="27" fillId="11" borderId="60" xfId="11" applyNumberFormat="1" applyFont="1" applyFill="1" applyBorder="1" applyAlignment="1">
      <alignment horizontal="center" vertical="center" wrapText="1"/>
    </xf>
    <xf numFmtId="2" fontId="28" fillId="11" borderId="60" xfId="11" applyNumberFormat="1" applyFont="1" applyFill="1" applyBorder="1" applyAlignment="1">
      <alignment horizontal="center" vertical="center" wrapText="1"/>
    </xf>
    <xf numFmtId="49" fontId="27" fillId="11" borderId="2" xfId="11" applyNumberFormat="1" applyFont="1" applyFill="1" applyBorder="1" applyAlignment="1">
      <alignment horizontal="center" vertical="center"/>
    </xf>
    <xf numFmtId="2" fontId="28" fillId="11" borderId="2" xfId="11" applyNumberFormat="1" applyFont="1" applyFill="1" applyBorder="1" applyAlignment="1">
      <alignment horizontal="center" vertical="center" wrapText="1"/>
    </xf>
    <xf numFmtId="2" fontId="27" fillId="11" borderId="2" xfId="11" applyNumberFormat="1" applyFont="1" applyFill="1" applyBorder="1" applyAlignment="1">
      <alignment horizontal="center" vertical="center" wrapText="1"/>
    </xf>
    <xf numFmtId="49" fontId="27" fillId="11" borderId="20" xfId="11" applyNumberFormat="1" applyFont="1" applyFill="1" applyBorder="1" applyAlignment="1">
      <alignment horizontal="center" vertical="center"/>
    </xf>
    <xf numFmtId="2" fontId="27" fillId="11" borderId="20" xfId="11" applyNumberFormat="1" applyFont="1" applyFill="1" applyBorder="1" applyAlignment="1">
      <alignment horizontal="center" vertical="center" wrapText="1"/>
    </xf>
    <xf numFmtId="43" fontId="36" fillId="11" borderId="42" xfId="19" applyFont="1" applyFill="1" applyBorder="1" applyAlignment="1">
      <alignment horizontal="center" vertical="center"/>
    </xf>
    <xf numFmtId="0" fontId="44" fillId="11" borderId="2" xfId="0" applyFont="1" applyFill="1" applyBorder="1" applyAlignment="1">
      <alignment horizontal="center" vertical="center"/>
    </xf>
    <xf numFmtId="2" fontId="43" fillId="11" borderId="2" xfId="0" applyNumberFormat="1" applyFont="1" applyFill="1" applyBorder="1" applyAlignment="1">
      <alignment horizontal="right" vertical="center" wrapText="1"/>
    </xf>
    <xf numFmtId="43" fontId="34" fillId="5" borderId="2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left" vertical="center"/>
    </xf>
    <xf numFmtId="0" fontId="34" fillId="0" borderId="2" xfId="8" applyFont="1" applyFill="1" applyBorder="1" applyAlignment="1">
      <alignment horizontal="center" vertical="center" wrapText="1"/>
    </xf>
    <xf numFmtId="0" fontId="34" fillId="0" borderId="14" xfId="8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 wrapText="1"/>
    </xf>
    <xf numFmtId="0" fontId="34" fillId="0" borderId="14" xfId="8" applyFont="1" applyFill="1" applyBorder="1" applyAlignment="1">
      <alignment horizontal="center" vertical="center" wrapText="1"/>
    </xf>
    <xf numFmtId="0" fontId="34" fillId="0" borderId="14" xfId="8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left" vertical="center"/>
    </xf>
    <xf numFmtId="0" fontId="34" fillId="0" borderId="2" xfId="8" applyFont="1" applyFill="1" applyBorder="1" applyAlignment="1">
      <alignment horizontal="left" vertical="center" wrapText="1"/>
    </xf>
    <xf numFmtId="43" fontId="34" fillId="5" borderId="2" xfId="19" applyFont="1" applyFill="1" applyBorder="1" applyAlignment="1">
      <alignment horizontal="center" vertical="center"/>
    </xf>
    <xf numFmtId="0" fontId="34" fillId="0" borderId="5" xfId="8" applyFont="1" applyFill="1" applyBorder="1" applyAlignment="1">
      <alignment horizontal="left" vertical="center" wrapText="1"/>
    </xf>
    <xf numFmtId="43" fontId="34" fillId="0" borderId="2" xfId="19" applyFont="1" applyFill="1" applyBorder="1" applyAlignment="1">
      <alignment horizontal="center" vertical="center"/>
    </xf>
    <xf numFmtId="2" fontId="43" fillId="0" borderId="14" xfId="0" applyNumberFormat="1" applyFont="1" applyFill="1" applyBorder="1" applyAlignment="1">
      <alignment horizontal="right" vertical="center" wrapText="1"/>
    </xf>
    <xf numFmtId="43" fontId="35" fillId="5" borderId="2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right" vertical="center" wrapText="1"/>
    </xf>
    <xf numFmtId="2" fontId="34" fillId="0" borderId="2" xfId="8" applyNumberFormat="1" applyFont="1" applyFill="1" applyBorder="1" applyAlignment="1">
      <alignment horizontal="right" vertical="center" wrapText="1"/>
    </xf>
    <xf numFmtId="0" fontId="34" fillId="0" borderId="20" xfId="8" applyFont="1" applyFill="1" applyBorder="1" applyAlignment="1">
      <alignment horizontal="right" vertical="center" wrapText="1"/>
    </xf>
    <xf numFmtId="0" fontId="35" fillId="5" borderId="14" xfId="8" applyFont="1" applyFill="1" applyBorder="1" applyAlignment="1">
      <alignment horizontal="center" vertical="center"/>
    </xf>
    <xf numFmtId="43" fontId="34" fillId="0" borderId="46" xfId="19" applyFont="1" applyFill="1" applyBorder="1" applyAlignment="1">
      <alignment horizontal="left" vertical="center" wrapText="1"/>
    </xf>
    <xf numFmtId="43" fontId="34" fillId="0" borderId="2" xfId="17" applyFont="1" applyFill="1" applyBorder="1" applyAlignment="1">
      <alignment horizontal="center" vertical="center"/>
    </xf>
    <xf numFmtId="0" fontId="20" fillId="0" borderId="3" xfId="6" applyFont="1" applyFill="1" applyBorder="1" applyAlignment="1">
      <alignment horizontal="left" vertical="center"/>
    </xf>
    <xf numFmtId="0" fontId="20" fillId="0" borderId="4" xfId="6" applyFont="1" applyFill="1" applyBorder="1" applyAlignment="1">
      <alignment horizontal="left" vertical="center"/>
    </xf>
    <xf numFmtId="43" fontId="34" fillId="5" borderId="14" xfId="19" applyFont="1" applyFill="1" applyBorder="1" applyAlignment="1">
      <alignment vertical="center" wrapText="1"/>
    </xf>
    <xf numFmtId="0" fontId="34" fillId="5" borderId="14" xfId="8" applyFont="1" applyFill="1" applyBorder="1" applyAlignment="1">
      <alignment horizontal="center" vertical="center"/>
    </xf>
    <xf numFmtId="43" fontId="34" fillId="5" borderId="13" xfId="19" applyFont="1" applyFill="1" applyBorder="1" applyAlignment="1">
      <alignment horizontal="center"/>
    </xf>
    <xf numFmtId="43" fontId="34" fillId="0" borderId="13" xfId="8" applyNumberFormat="1" applyFont="1" applyFill="1" applyBorder="1" applyAlignment="1">
      <alignment vertical="center"/>
    </xf>
    <xf numFmtId="43" fontId="34" fillId="5" borderId="13" xfId="19" applyFont="1" applyFill="1" applyBorder="1" applyAlignment="1">
      <alignment vertical="center"/>
    </xf>
    <xf numFmtId="0" fontId="34" fillId="0" borderId="49" xfId="8" applyFont="1" applyFill="1" applyBorder="1" applyAlignment="1">
      <alignment horizontal="left" vertical="center" wrapText="1"/>
    </xf>
    <xf numFmtId="43" fontId="34" fillId="5" borderId="28" xfId="19" applyFont="1" applyFill="1" applyBorder="1" applyAlignment="1">
      <alignment vertical="center"/>
    </xf>
    <xf numFmtId="43" fontId="35" fillId="5" borderId="26" xfId="19" applyFont="1" applyFill="1" applyBorder="1" applyAlignment="1">
      <alignment vertical="center"/>
    </xf>
    <xf numFmtId="43" fontId="35" fillId="5" borderId="17" xfId="19" applyFont="1" applyFill="1" applyBorder="1" applyAlignment="1">
      <alignment horizontal="left" vertical="center" wrapText="1"/>
    </xf>
    <xf numFmtId="0" fontId="34" fillId="13" borderId="20" xfId="8" applyFont="1" applyFill="1" applyBorder="1" applyAlignment="1">
      <alignment horizontal="center" vertical="center"/>
    </xf>
    <xf numFmtId="0" fontId="34" fillId="0" borderId="47" xfId="8" applyFont="1" applyFill="1" applyBorder="1" applyAlignment="1">
      <alignment horizontal="center" vertical="center"/>
    </xf>
    <xf numFmtId="0" fontId="34" fillId="0" borderId="17" xfId="8" applyFont="1" applyFill="1" applyBorder="1" applyAlignment="1">
      <alignment horizontal="center" vertical="center"/>
    </xf>
    <xf numFmtId="43" fontId="34" fillId="5" borderId="23" xfId="19" applyFont="1" applyFill="1" applyBorder="1" applyAlignment="1">
      <alignment horizontal="center" vertical="center"/>
    </xf>
    <xf numFmtId="43" fontId="3" fillId="5" borderId="2" xfId="17" applyNumberFormat="1" applyFont="1" applyFill="1" applyBorder="1" applyAlignment="1">
      <alignment vertical="center" wrapText="1"/>
    </xf>
    <xf numFmtId="43" fontId="34" fillId="5" borderId="22" xfId="19" applyFont="1" applyFill="1" applyBorder="1" applyAlignment="1">
      <alignment horizontal="center" vertical="center"/>
    </xf>
    <xf numFmtId="0" fontId="34" fillId="0" borderId="21" xfId="8" applyFont="1" applyFill="1" applyBorder="1" applyAlignment="1">
      <alignment vertical="center" wrapText="1"/>
    </xf>
    <xf numFmtId="43" fontId="34" fillId="0" borderId="35" xfId="19" applyFont="1" applyFill="1" applyBorder="1" applyAlignment="1">
      <alignment vertical="center"/>
    </xf>
    <xf numFmtId="0" fontId="34" fillId="0" borderId="21" xfId="8" applyFont="1" applyFill="1" applyBorder="1" applyAlignment="1">
      <alignment horizontal="center" vertical="center" wrapText="1"/>
    </xf>
    <xf numFmtId="43" fontId="34" fillId="5" borderId="0" xfId="17" applyFont="1" applyFill="1"/>
    <xf numFmtId="0" fontId="34" fillId="5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43" fontId="3" fillId="5" borderId="2" xfId="0" applyNumberFormat="1" applyFont="1" applyFill="1" applyBorder="1" applyAlignment="1">
      <alignment horizontal="center" vertical="center" wrapText="1"/>
    </xf>
    <xf numFmtId="43" fontId="3" fillId="5" borderId="2" xfId="17" applyFont="1" applyFill="1" applyBorder="1" applyAlignment="1">
      <alignment horizontal="center" vertical="center" wrapText="1"/>
    </xf>
    <xf numFmtId="43" fontId="36" fillId="5" borderId="13" xfId="19" applyFont="1" applyFill="1" applyBorder="1" applyAlignment="1">
      <alignment horizontal="center" vertical="center"/>
    </xf>
    <xf numFmtId="0" fontId="34" fillId="5" borderId="2" xfId="8" applyFont="1" applyFill="1" applyBorder="1" applyAlignment="1">
      <alignment horizontal="left" vertical="center" wrapText="1"/>
    </xf>
    <xf numFmtId="0" fontId="34" fillId="5" borderId="0" xfId="8" applyFont="1" applyFill="1" applyBorder="1" applyAlignment="1"/>
    <xf numFmtId="171" fontId="20" fillId="0" borderId="2" xfId="6" applyNumberFormat="1" applyFont="1" applyFill="1" applyBorder="1" applyAlignment="1">
      <alignment vertical="center"/>
    </xf>
    <xf numFmtId="43" fontId="0" fillId="0" borderId="0" xfId="0" applyNumberFormat="1"/>
    <xf numFmtId="173" fontId="0" fillId="0" borderId="2" xfId="0" applyNumberFormat="1" applyBorder="1" applyAlignment="1">
      <alignment horizontal="center" vertical="center"/>
    </xf>
    <xf numFmtId="7" fontId="0" fillId="7" borderId="2" xfId="0" applyNumberFormat="1" applyFill="1" applyBorder="1" applyAlignment="1">
      <alignment horizontal="center" vertical="center"/>
    </xf>
    <xf numFmtId="10" fontId="0" fillId="7" borderId="2" xfId="0" applyNumberFormat="1" applyFill="1" applyBorder="1" applyAlignment="1">
      <alignment horizontal="center" vertical="center"/>
    </xf>
    <xf numFmtId="173" fontId="0" fillId="7" borderId="2" xfId="0" applyNumberFormat="1" applyFill="1" applyBorder="1" applyAlignment="1">
      <alignment horizontal="center" vertical="center"/>
    </xf>
    <xf numFmtId="173" fontId="0" fillId="0" borderId="0" xfId="0" applyNumberFormat="1"/>
    <xf numFmtId="0" fontId="44" fillId="0" borderId="2" xfId="0" applyFont="1" applyBorder="1" applyAlignment="1">
      <alignment vertical="center" wrapText="1"/>
    </xf>
    <xf numFmtId="0" fontId="42" fillId="0" borderId="34" xfId="0" applyFont="1" applyFill="1" applyBorder="1" applyAlignment="1">
      <alignment horizontal="center" vertical="center" wrapText="1"/>
    </xf>
    <xf numFmtId="0" fontId="45" fillId="5" borderId="2" xfId="0" applyFont="1" applyFill="1" applyBorder="1" applyAlignment="1">
      <alignment wrapText="1"/>
    </xf>
    <xf numFmtId="0" fontId="45" fillId="5" borderId="2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/>
    </xf>
    <xf numFmtId="43" fontId="43" fillId="0" borderId="1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5" fillId="0" borderId="20" xfId="0" applyFont="1" applyFill="1" applyBorder="1" applyAlignment="1">
      <alignment horizontal="center" vertical="center"/>
    </xf>
    <xf numFmtId="0" fontId="41" fillId="0" borderId="2" xfId="0" applyFont="1" applyBorder="1" applyAlignment="1">
      <alignment wrapText="1"/>
    </xf>
    <xf numFmtId="0" fontId="3" fillId="5" borderId="69" xfId="6" applyFont="1" applyFill="1" applyBorder="1" applyAlignment="1">
      <alignment horizontal="center"/>
    </xf>
    <xf numFmtId="0" fontId="3" fillId="5" borderId="70" xfId="6" applyFont="1" applyFill="1" applyBorder="1" applyAlignment="1">
      <alignment horizontal="center"/>
    </xf>
    <xf numFmtId="0" fontId="3" fillId="5" borderId="71" xfId="6" applyFont="1" applyFill="1" applyBorder="1" applyAlignment="1">
      <alignment horizontal="center"/>
    </xf>
    <xf numFmtId="0" fontId="3" fillId="5" borderId="6" xfId="6" applyFont="1" applyFill="1" applyBorder="1" applyAlignment="1">
      <alignment horizontal="center"/>
    </xf>
    <xf numFmtId="0" fontId="3" fillId="5" borderId="0" xfId="6" applyFont="1" applyFill="1" applyBorder="1" applyAlignment="1">
      <alignment horizontal="center"/>
    </xf>
    <xf numFmtId="0" fontId="3" fillId="5" borderId="7" xfId="6" applyFont="1" applyFill="1" applyBorder="1" applyAlignment="1">
      <alignment horizontal="center"/>
    </xf>
    <xf numFmtId="0" fontId="3" fillId="5" borderId="8" xfId="6" applyFont="1" applyFill="1" applyBorder="1" applyAlignment="1">
      <alignment horizontal="center"/>
    </xf>
    <xf numFmtId="0" fontId="3" fillId="5" borderId="9" xfId="6" applyFont="1" applyFill="1" applyBorder="1" applyAlignment="1">
      <alignment horizontal="center"/>
    </xf>
    <xf numFmtId="0" fontId="3" fillId="5" borderId="10" xfId="6" applyFont="1" applyFill="1" applyBorder="1" applyAlignment="1">
      <alignment horizontal="center"/>
    </xf>
    <xf numFmtId="0" fontId="13" fillId="5" borderId="39" xfId="6" applyFont="1" applyFill="1" applyBorder="1" applyAlignment="1">
      <alignment horizontal="center"/>
    </xf>
    <xf numFmtId="0" fontId="13" fillId="5" borderId="56" xfId="6" applyFont="1" applyFill="1" applyBorder="1" applyAlignment="1">
      <alignment horizontal="center"/>
    </xf>
    <xf numFmtId="0" fontId="13" fillId="5" borderId="29" xfId="6" applyFont="1" applyFill="1" applyBorder="1" applyAlignment="1">
      <alignment horizontal="center"/>
    </xf>
    <xf numFmtId="0" fontId="3" fillId="0" borderId="69" xfId="6" applyFont="1" applyBorder="1" applyAlignment="1">
      <alignment horizontal="center" vertical="top" wrapText="1"/>
    </xf>
    <xf numFmtId="0" fontId="3" fillId="0" borderId="70" xfId="6" applyBorder="1" applyAlignment="1">
      <alignment horizontal="center" vertical="top"/>
    </xf>
    <xf numFmtId="0" fontId="3" fillId="0" borderId="71" xfId="6" applyBorder="1" applyAlignment="1">
      <alignment horizontal="center" vertical="top"/>
    </xf>
    <xf numFmtId="0" fontId="3" fillId="0" borderId="6" xfId="6" applyBorder="1" applyAlignment="1">
      <alignment horizontal="center" vertical="top"/>
    </xf>
    <xf numFmtId="0" fontId="3" fillId="0" borderId="0" xfId="6" applyBorder="1" applyAlignment="1">
      <alignment horizontal="center" vertical="top"/>
    </xf>
    <xf numFmtId="0" fontId="3" fillId="0" borderId="7" xfId="6" applyBorder="1" applyAlignment="1">
      <alignment horizontal="center" vertical="top"/>
    </xf>
    <xf numFmtId="0" fontId="3" fillId="0" borderId="8" xfId="6" applyBorder="1" applyAlignment="1">
      <alignment horizontal="center" vertical="top"/>
    </xf>
    <xf numFmtId="0" fontId="3" fillId="0" borderId="9" xfId="6" applyBorder="1" applyAlignment="1">
      <alignment horizontal="center" vertical="top"/>
    </xf>
    <xf numFmtId="0" fontId="3" fillId="0" borderId="10" xfId="6" applyBorder="1" applyAlignment="1">
      <alignment horizontal="center" vertical="top"/>
    </xf>
    <xf numFmtId="0" fontId="13" fillId="5" borderId="69" xfId="6" applyFont="1" applyFill="1" applyBorder="1" applyAlignment="1">
      <alignment horizontal="center" vertical="center"/>
    </xf>
    <xf numFmtId="0" fontId="13" fillId="5" borderId="70" xfId="6" applyFont="1" applyFill="1" applyBorder="1" applyAlignment="1">
      <alignment horizontal="center" vertical="center"/>
    </xf>
    <xf numFmtId="0" fontId="13" fillId="5" borderId="71" xfId="6" applyFont="1" applyFill="1" applyBorder="1" applyAlignment="1">
      <alignment horizontal="center" vertical="center"/>
    </xf>
    <xf numFmtId="0" fontId="10" fillId="5" borderId="6" xfId="6" applyFont="1" applyFill="1" applyBorder="1" applyAlignment="1">
      <alignment horizontal="center"/>
    </xf>
    <xf numFmtId="0" fontId="10" fillId="5" borderId="0" xfId="6" applyFont="1" applyFill="1" applyBorder="1" applyAlignment="1">
      <alignment horizontal="center"/>
    </xf>
    <xf numFmtId="0" fontId="10" fillId="5" borderId="7" xfId="6" applyFont="1" applyFill="1" applyBorder="1" applyAlignment="1">
      <alignment horizontal="center"/>
    </xf>
    <xf numFmtId="0" fontId="41" fillId="0" borderId="3" xfId="0" applyFont="1" applyFill="1" applyBorder="1" applyAlignment="1">
      <alignment horizontal="right" vertical="center" wrapText="1"/>
    </xf>
    <xf numFmtId="0" fontId="41" fillId="0" borderId="4" xfId="0" applyFont="1" applyFill="1" applyBorder="1" applyAlignment="1">
      <alignment horizontal="right" vertical="center" wrapText="1"/>
    </xf>
    <xf numFmtId="0" fontId="41" fillId="0" borderId="5" xfId="0" applyFont="1" applyFill="1" applyBorder="1" applyAlignment="1">
      <alignment horizontal="right" vertical="center" wrapText="1"/>
    </xf>
    <xf numFmtId="0" fontId="6" fillId="0" borderId="2" xfId="7" applyFont="1" applyFill="1" applyBorder="1" applyAlignment="1">
      <alignment horizontal="left" vertical="center"/>
    </xf>
    <xf numFmtId="0" fontId="7" fillId="0" borderId="2" xfId="7" applyFont="1" applyFill="1" applyBorder="1" applyAlignment="1">
      <alignment horizontal="left" vertical="center"/>
    </xf>
    <xf numFmtId="0" fontId="33" fillId="5" borderId="20" xfId="0" applyFont="1" applyFill="1" applyBorder="1" applyAlignment="1">
      <alignment horizontal="left" vertical="center" wrapText="1"/>
    </xf>
    <xf numFmtId="0" fontId="41" fillId="0" borderId="2" xfId="0" applyFont="1" applyFill="1" applyBorder="1" applyAlignment="1">
      <alignment horizontal="right" vertical="center" wrapText="1"/>
    </xf>
    <xf numFmtId="0" fontId="5" fillId="0" borderId="35" xfId="7" applyFont="1" applyFill="1" applyBorder="1" applyAlignment="1">
      <alignment horizontal="center" vertical="center" wrapText="1"/>
    </xf>
    <xf numFmtId="0" fontId="5" fillId="0" borderId="47" xfId="7" applyFont="1" applyFill="1" applyBorder="1" applyAlignment="1">
      <alignment horizontal="center" vertical="center" wrapText="1"/>
    </xf>
    <xf numFmtId="0" fontId="5" fillId="0" borderId="26" xfId="7" applyFont="1" applyFill="1" applyBorder="1" applyAlignment="1">
      <alignment horizontal="center" vertical="center" wrapText="1"/>
    </xf>
    <xf numFmtId="0" fontId="5" fillId="0" borderId="36" xfId="7" applyFont="1" applyFill="1" applyBorder="1" applyAlignment="1">
      <alignment horizontal="center" vertical="center" wrapText="1"/>
    </xf>
    <xf numFmtId="0" fontId="5" fillId="0" borderId="37" xfId="7" applyFont="1" applyFill="1" applyBorder="1" applyAlignment="1">
      <alignment horizontal="center" vertical="center" wrapText="1"/>
    </xf>
    <xf numFmtId="0" fontId="5" fillId="0" borderId="46" xfId="7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28" xfId="7" applyFont="1" applyFill="1" applyBorder="1" applyAlignment="1">
      <alignment horizontal="center" vertical="center" wrapText="1"/>
    </xf>
    <xf numFmtId="0" fontId="5" fillId="0" borderId="50" xfId="7" applyFont="1" applyFill="1" applyBorder="1" applyAlignment="1">
      <alignment horizontal="center" vertical="center" wrapText="1"/>
    </xf>
    <xf numFmtId="0" fontId="4" fillId="0" borderId="36" xfId="7" applyFont="1" applyFill="1" applyBorder="1" applyAlignment="1">
      <alignment horizontal="center" vertical="center"/>
    </xf>
    <xf numFmtId="0" fontId="4" fillId="0" borderId="35" xfId="7" applyFont="1" applyFill="1" applyBorder="1" applyAlignment="1">
      <alignment horizontal="center" vertical="center"/>
    </xf>
    <xf numFmtId="0" fontId="4" fillId="0" borderId="46" xfId="7" applyFont="1" applyFill="1" applyBorder="1" applyAlignment="1">
      <alignment horizontal="center" vertical="center"/>
    </xf>
    <xf numFmtId="0" fontId="4" fillId="0" borderId="47" xfId="7" applyFont="1" applyFill="1" applyBorder="1" applyAlignment="1">
      <alignment horizontal="center" vertical="center"/>
    </xf>
    <xf numFmtId="0" fontId="4" fillId="0" borderId="28" xfId="7" applyFont="1" applyFill="1" applyBorder="1" applyAlignment="1">
      <alignment horizontal="center" vertical="center"/>
    </xf>
    <xf numFmtId="0" fontId="4" fillId="0" borderId="26" xfId="7" applyFont="1" applyFill="1" applyBorder="1" applyAlignment="1">
      <alignment horizontal="center" vertical="center"/>
    </xf>
    <xf numFmtId="0" fontId="54" fillId="9" borderId="72" xfId="0" applyFont="1" applyFill="1" applyBorder="1" applyAlignment="1">
      <alignment horizontal="left" vertical="center" wrapText="1"/>
    </xf>
    <xf numFmtId="0" fontId="54" fillId="9" borderId="70" xfId="0" applyFont="1" applyFill="1" applyBorder="1" applyAlignment="1">
      <alignment horizontal="left" vertical="center" wrapText="1"/>
    </xf>
    <xf numFmtId="0" fontId="54" fillId="9" borderId="73" xfId="0" applyFont="1" applyFill="1" applyBorder="1" applyAlignment="1">
      <alignment horizontal="left" vertical="center" wrapText="1"/>
    </xf>
    <xf numFmtId="0" fontId="54" fillId="9" borderId="28" xfId="0" applyFont="1" applyFill="1" applyBorder="1" applyAlignment="1">
      <alignment horizontal="left" vertical="center" wrapText="1"/>
    </xf>
    <xf numFmtId="0" fontId="54" fillId="9" borderId="50" xfId="0" applyFont="1" applyFill="1" applyBorder="1" applyAlignment="1">
      <alignment horizontal="left" vertical="center" wrapText="1"/>
    </xf>
    <xf numFmtId="0" fontId="54" fillId="9" borderId="26" xfId="0" applyFont="1" applyFill="1" applyBorder="1" applyAlignment="1">
      <alignment horizontal="left" vertical="center" wrapText="1"/>
    </xf>
    <xf numFmtId="0" fontId="41" fillId="9" borderId="45" xfId="0" applyFont="1" applyFill="1" applyBorder="1" applyAlignment="1">
      <alignment horizontal="right" vertical="center" wrapText="1"/>
    </xf>
    <xf numFmtId="0" fontId="34" fillId="0" borderId="56" xfId="0" applyFont="1" applyBorder="1"/>
    <xf numFmtId="0" fontId="34" fillId="0" borderId="29" xfId="0" applyFont="1" applyBorder="1"/>
    <xf numFmtId="43" fontId="0" fillId="0" borderId="20" xfId="0" applyNumberFormat="1" applyBorder="1" applyAlignment="1">
      <alignment horizontal="center" vertical="center"/>
    </xf>
    <xf numFmtId="7" fontId="0" fillId="0" borderId="1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74" xfId="6" applyFont="1" applyFill="1" applyBorder="1" applyAlignment="1">
      <alignment horizontal="left" vertical="center"/>
    </xf>
    <xf numFmtId="0" fontId="6" fillId="0" borderId="4" xfId="6" applyFont="1" applyFill="1" applyBorder="1" applyAlignment="1">
      <alignment horizontal="left" vertical="center"/>
    </xf>
    <xf numFmtId="0" fontId="6" fillId="0" borderId="5" xfId="6" applyFont="1" applyFill="1" applyBorder="1" applyAlignment="1">
      <alignment horizontal="left" vertical="center"/>
    </xf>
    <xf numFmtId="7" fontId="0" fillId="7" borderId="20" xfId="0" applyNumberFormat="1" applyFill="1" applyBorder="1" applyAlignment="1">
      <alignment horizontal="center" vertical="center"/>
    </xf>
    <xf numFmtId="7" fontId="0" fillId="7" borderId="14" xfId="0" applyNumberForma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43" fontId="32" fillId="0" borderId="20" xfId="0" applyNumberFormat="1" applyFont="1" applyBorder="1" applyAlignment="1">
      <alignment horizontal="center" vertical="center"/>
    </xf>
    <xf numFmtId="7" fontId="32" fillId="0" borderId="14" xfId="0" applyNumberFormat="1" applyFont="1" applyBorder="1" applyAlignment="1">
      <alignment horizontal="center" vertical="center"/>
    </xf>
    <xf numFmtId="43" fontId="0" fillId="0" borderId="14" xfId="0" applyNumberFormat="1" applyBorder="1" applyAlignment="1">
      <alignment horizontal="center" vertical="center"/>
    </xf>
    <xf numFmtId="0" fontId="4" fillId="0" borderId="20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7" fillId="0" borderId="2" xfId="6" applyFont="1" applyFill="1" applyBorder="1" applyAlignment="1">
      <alignment horizontal="left" vertical="center"/>
    </xf>
    <xf numFmtId="0" fontId="33" fillId="5" borderId="2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wrapText="1"/>
    </xf>
    <xf numFmtId="0" fontId="5" fillId="0" borderId="0" xfId="6" applyFont="1" applyFill="1" applyBorder="1" applyAlignment="1">
      <alignment horizontal="center" vertical="center"/>
    </xf>
    <xf numFmtId="0" fontId="4" fillId="0" borderId="36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horizontal="center" vertical="center"/>
    </xf>
    <xf numFmtId="0" fontId="4" fillId="0" borderId="46" xfId="6" applyFont="1" applyFill="1" applyBorder="1" applyAlignment="1">
      <alignment horizontal="center" vertical="center"/>
    </xf>
    <xf numFmtId="0" fontId="4" fillId="0" borderId="47" xfId="6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center" vertical="center"/>
    </xf>
    <xf numFmtId="0" fontId="4" fillId="0" borderId="26" xfId="6" applyFont="1" applyFill="1" applyBorder="1" applyAlignment="1">
      <alignment horizontal="center" vertical="center"/>
    </xf>
    <xf numFmtId="0" fontId="5" fillId="0" borderId="35" xfId="6" applyFont="1" applyFill="1" applyBorder="1" applyAlignment="1">
      <alignment horizontal="center" vertical="center"/>
    </xf>
    <xf numFmtId="0" fontId="5" fillId="0" borderId="47" xfId="6" applyFont="1" applyFill="1" applyBorder="1" applyAlignment="1">
      <alignment horizontal="center" vertical="center"/>
    </xf>
    <xf numFmtId="0" fontId="5" fillId="0" borderId="26" xfId="6" applyFont="1" applyFill="1" applyBorder="1" applyAlignment="1">
      <alignment horizontal="center" vertical="center"/>
    </xf>
    <xf numFmtId="0" fontId="24" fillId="0" borderId="36" xfId="6" applyFont="1" applyFill="1" applyBorder="1" applyAlignment="1">
      <alignment horizontal="center" vertical="center" wrapText="1"/>
    </xf>
    <xf numFmtId="0" fontId="5" fillId="0" borderId="37" xfId="6" applyFont="1" applyFill="1" applyBorder="1" applyAlignment="1">
      <alignment horizontal="center" vertical="center"/>
    </xf>
    <xf numFmtId="0" fontId="5" fillId="0" borderId="46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50" xfId="6" applyFont="1" applyFill="1" applyBorder="1" applyAlignment="1">
      <alignment horizontal="center" vertical="center"/>
    </xf>
    <xf numFmtId="43" fontId="35" fillId="6" borderId="39" xfId="19" applyFont="1" applyFill="1" applyBorder="1" applyAlignment="1">
      <alignment horizontal="left" vertical="center"/>
    </xf>
    <xf numFmtId="43" fontId="35" fillId="6" borderId="56" xfId="19" applyFont="1" applyFill="1" applyBorder="1" applyAlignment="1">
      <alignment horizontal="left" vertical="center"/>
    </xf>
    <xf numFmtId="43" fontId="35" fillId="6" borderId="29" xfId="19" applyFont="1" applyFill="1" applyBorder="1" applyAlignment="1">
      <alignment horizontal="left" vertical="center"/>
    </xf>
    <xf numFmtId="43" fontId="36" fillId="7" borderId="13" xfId="19" applyFont="1" applyFill="1" applyBorder="1" applyAlignment="1">
      <alignment horizontal="left" vertical="center" wrapText="1"/>
    </xf>
    <xf numFmtId="43" fontId="34" fillId="5" borderId="36" xfId="19" applyFont="1" applyFill="1" applyBorder="1" applyAlignment="1">
      <alignment horizontal="left" vertical="center" wrapText="1"/>
    </xf>
    <xf numFmtId="43" fontId="34" fillId="5" borderId="37" xfId="19" applyFont="1" applyFill="1" applyBorder="1" applyAlignment="1">
      <alignment horizontal="left" vertical="center" wrapText="1"/>
    </xf>
    <xf numFmtId="43" fontId="34" fillId="5" borderId="35" xfId="19" applyFont="1" applyFill="1" applyBorder="1" applyAlignment="1">
      <alignment horizontal="left" vertical="center" wrapText="1"/>
    </xf>
    <xf numFmtId="43" fontId="34" fillId="5" borderId="43" xfId="19" applyFont="1" applyFill="1" applyBorder="1" applyAlignment="1">
      <alignment horizontal="center" vertical="center"/>
    </xf>
    <xf numFmtId="43" fontId="34" fillId="5" borderId="75" xfId="19" applyFont="1" applyFill="1" applyBorder="1" applyAlignment="1">
      <alignment horizontal="center" vertical="center"/>
    </xf>
    <xf numFmtId="43" fontId="34" fillId="5" borderId="76" xfId="19" applyFont="1" applyFill="1" applyBorder="1" applyAlignment="1">
      <alignment horizontal="center" vertical="center"/>
    </xf>
    <xf numFmtId="0" fontId="34" fillId="0" borderId="3" xfId="8" applyFont="1" applyFill="1" applyBorder="1" applyAlignment="1">
      <alignment horizontal="left" vertical="center" wrapText="1"/>
    </xf>
    <xf numFmtId="0" fontId="0" fillId="0" borderId="5" xfId="0" applyBorder="1"/>
    <xf numFmtId="43" fontId="34" fillId="0" borderId="2" xfId="17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left" vertical="center" wrapText="1"/>
    </xf>
    <xf numFmtId="0" fontId="0" fillId="0" borderId="2" xfId="0" applyBorder="1"/>
    <xf numFmtId="0" fontId="34" fillId="0" borderId="43" xfId="8" applyFont="1" applyFill="1" applyBorder="1" applyAlignment="1">
      <alignment horizontal="center" vertical="center"/>
    </xf>
    <xf numFmtId="0" fontId="34" fillId="0" borderId="76" xfId="8" applyFont="1" applyFill="1" applyBorder="1" applyAlignment="1">
      <alignment horizontal="center" vertical="center"/>
    </xf>
    <xf numFmtId="0" fontId="34" fillId="0" borderId="5" xfId="8" applyFont="1" applyFill="1" applyBorder="1" applyAlignment="1">
      <alignment horizontal="left" vertical="center" wrapText="1"/>
    </xf>
    <xf numFmtId="0" fontId="53" fillId="0" borderId="17" xfId="8" applyFont="1" applyFill="1" applyBorder="1" applyAlignment="1">
      <alignment horizontal="center" vertical="center" wrapText="1"/>
    </xf>
    <xf numFmtId="0" fontId="53" fillId="0" borderId="31" xfId="8" applyFont="1" applyFill="1" applyBorder="1" applyAlignment="1">
      <alignment horizontal="center" vertical="center" wrapText="1"/>
    </xf>
    <xf numFmtId="0" fontId="51" fillId="0" borderId="20" xfId="8" applyFont="1" applyFill="1" applyBorder="1" applyAlignment="1">
      <alignment horizontal="center" vertical="center" wrapText="1"/>
    </xf>
    <xf numFmtId="0" fontId="51" fillId="0" borderId="31" xfId="8" applyFont="1" applyFill="1" applyBorder="1" applyAlignment="1">
      <alignment horizontal="center" vertical="center" wrapText="1"/>
    </xf>
    <xf numFmtId="0" fontId="35" fillId="0" borderId="14" xfId="8" applyFont="1" applyFill="1" applyBorder="1" applyAlignment="1">
      <alignment horizontal="center" vertical="center"/>
    </xf>
    <xf numFmtId="0" fontId="35" fillId="0" borderId="2" xfId="8" applyFont="1" applyFill="1" applyBorder="1" applyAlignment="1">
      <alignment horizontal="center" vertical="center"/>
    </xf>
    <xf numFmtId="43" fontId="34" fillId="5" borderId="45" xfId="19" applyFont="1" applyFill="1" applyBorder="1" applyAlignment="1">
      <alignment horizontal="center" vertical="center"/>
    </xf>
    <xf numFmtId="43" fontId="34" fillId="5" borderId="56" xfId="19" applyFont="1" applyFill="1" applyBorder="1" applyAlignment="1">
      <alignment horizontal="center" vertical="center"/>
    </xf>
    <xf numFmtId="43" fontId="34" fillId="5" borderId="33" xfId="19" applyFont="1" applyFill="1" applyBorder="1" applyAlignment="1">
      <alignment horizontal="center" vertical="center"/>
    </xf>
    <xf numFmtId="0" fontId="34" fillId="0" borderId="74" xfId="8" applyFont="1" applyFill="1" applyBorder="1" applyAlignment="1">
      <alignment horizontal="left" vertical="center" wrapText="1"/>
    </xf>
    <xf numFmtId="43" fontId="34" fillId="0" borderId="48" xfId="17" applyFont="1" applyFill="1" applyBorder="1" applyAlignment="1">
      <alignment horizontal="center" vertical="center"/>
    </xf>
    <xf numFmtId="43" fontId="34" fillId="0" borderId="49" xfId="17" applyFont="1" applyFill="1" applyBorder="1" applyAlignment="1">
      <alignment horizontal="center" vertical="center"/>
    </xf>
    <xf numFmtId="0" fontId="34" fillId="0" borderId="45" xfId="8" applyFont="1" applyFill="1" applyBorder="1" applyAlignment="1">
      <alignment horizontal="left" vertical="center"/>
    </xf>
    <xf numFmtId="0" fontId="34" fillId="0" borderId="56" xfId="8" applyFont="1" applyFill="1" applyBorder="1" applyAlignment="1">
      <alignment horizontal="left" vertical="center"/>
    </xf>
    <xf numFmtId="0" fontId="34" fillId="0" borderId="33" xfId="8" applyFont="1" applyFill="1" applyBorder="1" applyAlignment="1">
      <alignment horizontal="left" vertical="center"/>
    </xf>
    <xf numFmtId="43" fontId="36" fillId="7" borderId="45" xfId="19" applyFont="1" applyFill="1" applyBorder="1" applyAlignment="1">
      <alignment horizontal="left" vertical="center" wrapText="1"/>
    </xf>
    <xf numFmtId="43" fontId="36" fillId="7" borderId="56" xfId="19" applyFont="1" applyFill="1" applyBorder="1" applyAlignment="1">
      <alignment horizontal="left" vertical="center" wrapText="1"/>
    </xf>
    <xf numFmtId="43" fontId="36" fillId="7" borderId="33" xfId="19" applyFont="1" applyFill="1" applyBorder="1" applyAlignment="1">
      <alignment horizontal="left" vertical="center" wrapText="1"/>
    </xf>
    <xf numFmtId="43" fontId="36" fillId="7" borderId="31" xfId="19" applyFont="1" applyFill="1" applyBorder="1" applyAlignment="1">
      <alignment horizontal="left" vertical="center" wrapText="1"/>
    </xf>
    <xf numFmtId="43" fontId="34" fillId="11" borderId="43" xfId="19" applyFont="1" applyFill="1" applyBorder="1" applyAlignment="1">
      <alignment horizontal="left" vertical="center"/>
    </xf>
    <xf numFmtId="43" fontId="34" fillId="11" borderId="76" xfId="19" applyFont="1" applyFill="1" applyBorder="1" applyAlignment="1">
      <alignment horizontal="left" vertical="center"/>
    </xf>
    <xf numFmtId="43" fontId="36" fillId="7" borderId="82" xfId="19" applyFont="1" applyFill="1" applyBorder="1" applyAlignment="1">
      <alignment horizontal="left" vertical="center" wrapText="1"/>
    </xf>
    <xf numFmtId="43" fontId="36" fillId="7" borderId="9" xfId="19" applyFont="1" applyFill="1" applyBorder="1" applyAlignment="1">
      <alignment horizontal="left" vertical="center" wrapText="1"/>
    </xf>
    <xf numFmtId="43" fontId="36" fillId="7" borderId="77" xfId="19" applyFont="1" applyFill="1" applyBorder="1" applyAlignment="1">
      <alignment horizontal="left" vertical="center" wrapText="1"/>
    </xf>
    <xf numFmtId="43" fontId="34" fillId="0" borderId="28" xfId="19" applyFont="1" applyFill="1" applyBorder="1" applyAlignment="1">
      <alignment horizontal="center" vertical="center"/>
    </xf>
    <xf numFmtId="43" fontId="34" fillId="0" borderId="50" xfId="19" applyFont="1" applyFill="1" applyBorder="1" applyAlignment="1">
      <alignment horizontal="center" vertical="center"/>
    </xf>
    <xf numFmtId="43" fontId="34" fillId="0" borderId="26" xfId="19" applyFont="1" applyFill="1" applyBorder="1" applyAlignment="1">
      <alignment horizontal="center" vertical="center"/>
    </xf>
    <xf numFmtId="43" fontId="35" fillId="6" borderId="45" xfId="19" applyFont="1" applyFill="1" applyBorder="1" applyAlignment="1">
      <alignment horizontal="left" vertical="center"/>
    </xf>
    <xf numFmtId="0" fontId="35" fillId="6" borderId="45" xfId="8" applyFont="1" applyFill="1" applyBorder="1" applyAlignment="1">
      <alignment horizontal="left" vertical="center"/>
    </xf>
    <xf numFmtId="0" fontId="35" fillId="6" borderId="56" xfId="8" applyFont="1" applyFill="1" applyBorder="1" applyAlignment="1">
      <alignment horizontal="left" vertical="center"/>
    </xf>
    <xf numFmtId="0" fontId="35" fillId="6" borderId="29" xfId="8" applyFont="1" applyFill="1" applyBorder="1" applyAlignment="1">
      <alignment horizontal="left" vertical="center"/>
    </xf>
    <xf numFmtId="43" fontId="34" fillId="0" borderId="43" xfId="19" applyFont="1" applyFill="1" applyBorder="1" applyAlignment="1">
      <alignment horizontal="center" vertical="center"/>
    </xf>
    <xf numFmtId="43" fontId="34" fillId="0" borderId="75" xfId="19" applyFont="1" applyFill="1" applyBorder="1" applyAlignment="1">
      <alignment horizontal="center" vertical="center"/>
    </xf>
    <xf numFmtId="43" fontId="34" fillId="0" borderId="76" xfId="19" applyFont="1" applyFill="1" applyBorder="1" applyAlignment="1">
      <alignment horizontal="center" vertical="center"/>
    </xf>
    <xf numFmtId="0" fontId="34" fillId="0" borderId="36" xfId="8" applyFont="1" applyFill="1" applyBorder="1" applyAlignment="1">
      <alignment horizontal="left" vertical="center" wrapText="1"/>
    </xf>
    <xf numFmtId="0" fontId="34" fillId="0" borderId="35" xfId="8" applyFont="1" applyFill="1" applyBorder="1" applyAlignment="1">
      <alignment horizontal="left" vertical="center" wrapText="1"/>
    </xf>
    <xf numFmtId="0" fontId="34" fillId="0" borderId="78" xfId="8" applyFont="1" applyFill="1" applyBorder="1" applyAlignment="1">
      <alignment horizontal="left" vertical="center"/>
    </xf>
    <xf numFmtId="0" fontId="34" fillId="0" borderId="75" xfId="8" applyFont="1" applyFill="1" applyBorder="1" applyAlignment="1">
      <alignment horizontal="left" vertical="center"/>
    </xf>
    <xf numFmtId="0" fontId="34" fillId="0" borderId="76" xfId="8" applyFont="1" applyFill="1" applyBorder="1" applyAlignment="1">
      <alignment horizontal="left" vertical="center"/>
    </xf>
    <xf numFmtId="43" fontId="34" fillId="11" borderId="36" xfId="19" applyFont="1" applyFill="1" applyBorder="1" applyAlignment="1">
      <alignment horizontal="center" vertical="center" wrapText="1"/>
    </xf>
    <xf numFmtId="43" fontId="34" fillId="11" borderId="37" xfId="19" applyFont="1" applyFill="1" applyBorder="1" applyAlignment="1">
      <alignment horizontal="center" vertical="center" wrapText="1"/>
    </xf>
    <xf numFmtId="43" fontId="34" fillId="11" borderId="4" xfId="19" applyFont="1" applyFill="1" applyBorder="1" applyAlignment="1">
      <alignment horizontal="center" vertical="center" wrapText="1"/>
    </xf>
    <xf numFmtId="43" fontId="34" fillId="11" borderId="51" xfId="19" applyFont="1" applyFill="1" applyBorder="1" applyAlignment="1">
      <alignment horizontal="center" vertical="center" wrapText="1"/>
    </xf>
    <xf numFmtId="43" fontId="35" fillId="6" borderId="72" xfId="19" applyFont="1" applyFill="1" applyBorder="1" applyAlignment="1">
      <alignment horizontal="left" vertical="center"/>
    </xf>
    <xf numFmtId="43" fontId="35" fillId="6" borderId="70" xfId="19" applyFont="1" applyFill="1" applyBorder="1" applyAlignment="1">
      <alignment horizontal="left" vertical="center"/>
    </xf>
    <xf numFmtId="43" fontId="35" fillId="6" borderId="71" xfId="19" applyFont="1" applyFill="1" applyBorder="1" applyAlignment="1">
      <alignment horizontal="left" vertical="center"/>
    </xf>
    <xf numFmtId="43" fontId="36" fillId="11" borderId="45" xfId="19" applyFont="1" applyFill="1" applyBorder="1" applyAlignment="1">
      <alignment horizontal="center" vertical="center" wrapText="1"/>
    </xf>
    <xf numFmtId="43" fontId="36" fillId="11" borderId="56" xfId="19" applyFont="1" applyFill="1" applyBorder="1" applyAlignment="1">
      <alignment horizontal="center" vertical="center" wrapText="1"/>
    </xf>
    <xf numFmtId="0" fontId="31" fillId="11" borderId="28" xfId="11" applyFill="1" applyBorder="1" applyAlignment="1">
      <alignment horizontal="center"/>
    </xf>
    <xf numFmtId="0" fontId="31" fillId="11" borderId="50" xfId="11" applyFill="1" applyBorder="1" applyAlignment="1">
      <alignment horizontal="center"/>
    </xf>
    <xf numFmtId="0" fontId="31" fillId="11" borderId="26" xfId="11" applyFill="1" applyBorder="1" applyAlignment="1">
      <alignment horizontal="center"/>
    </xf>
    <xf numFmtId="4" fontId="35" fillId="11" borderId="45" xfId="8" applyNumberFormat="1" applyFont="1" applyFill="1" applyBorder="1" applyAlignment="1">
      <alignment horizontal="right" vertical="center"/>
    </xf>
    <xf numFmtId="0" fontId="35" fillId="11" borderId="56" xfId="8" applyFont="1" applyFill="1" applyBorder="1" applyAlignment="1">
      <alignment horizontal="right" vertical="center"/>
    </xf>
    <xf numFmtId="0" fontId="35" fillId="11" borderId="29" xfId="8" applyFont="1" applyFill="1" applyBorder="1" applyAlignment="1">
      <alignment horizontal="right" vertical="center"/>
    </xf>
    <xf numFmtId="43" fontId="36" fillId="11" borderId="13" xfId="19" applyFont="1" applyFill="1" applyBorder="1" applyAlignment="1">
      <alignment horizontal="left" vertical="center" wrapText="1"/>
    </xf>
    <xf numFmtId="43" fontId="34" fillId="11" borderId="45" xfId="19" applyFont="1" applyFill="1" applyBorder="1" applyAlignment="1">
      <alignment horizontal="center" vertical="center"/>
    </xf>
    <xf numFmtId="43" fontId="34" fillId="11" borderId="56" xfId="19" applyFont="1" applyFill="1" applyBorder="1" applyAlignment="1">
      <alignment horizontal="center" vertical="center"/>
    </xf>
    <xf numFmtId="43" fontId="34" fillId="11" borderId="33" xfId="19" applyFont="1" applyFill="1" applyBorder="1" applyAlignment="1">
      <alignment horizontal="center" vertical="center"/>
    </xf>
    <xf numFmtId="43" fontId="36" fillId="13" borderId="13" xfId="19" applyFont="1" applyFill="1" applyBorder="1" applyAlignment="1">
      <alignment horizontal="left" vertical="center" wrapText="1"/>
    </xf>
    <xf numFmtId="0" fontId="35" fillId="0" borderId="6" xfId="8" applyFont="1" applyFill="1" applyBorder="1" applyAlignment="1">
      <alignment horizontal="center" vertical="center" wrapText="1"/>
    </xf>
    <xf numFmtId="0" fontId="35" fillId="0" borderId="47" xfId="8" applyFont="1" applyFill="1" applyBorder="1" applyAlignment="1">
      <alignment horizontal="center" vertical="center" wrapText="1"/>
    </xf>
    <xf numFmtId="0" fontId="35" fillId="0" borderId="8" xfId="8" applyFont="1" applyFill="1" applyBorder="1" applyAlignment="1">
      <alignment horizontal="center" vertical="center" wrapText="1"/>
    </xf>
    <xf numFmtId="0" fontId="35" fillId="0" borderId="77" xfId="8" applyFont="1" applyFill="1" applyBorder="1" applyAlignment="1">
      <alignment horizontal="center" vertical="center" wrapText="1"/>
    </xf>
    <xf numFmtId="0" fontId="48" fillId="0" borderId="2" xfId="8" applyFont="1" applyFill="1" applyBorder="1" applyAlignment="1">
      <alignment horizontal="center" vertical="center"/>
    </xf>
    <xf numFmtId="0" fontId="48" fillId="0" borderId="21" xfId="8" applyFont="1" applyFill="1" applyBorder="1" applyAlignment="1">
      <alignment horizontal="center" vertical="center"/>
    </xf>
    <xf numFmtId="0" fontId="48" fillId="0" borderId="19" xfId="8" applyFont="1" applyFill="1" applyBorder="1" applyAlignment="1">
      <alignment horizontal="center" vertical="center"/>
    </xf>
    <xf numFmtId="0" fontId="48" fillId="0" borderId="30" xfId="8" applyFont="1" applyFill="1" applyBorder="1" applyAlignment="1">
      <alignment horizontal="center" vertical="center"/>
    </xf>
    <xf numFmtId="0" fontId="48" fillId="0" borderId="20" xfId="8" applyFont="1" applyFill="1" applyBorder="1" applyAlignment="1">
      <alignment horizontal="center" vertical="center"/>
    </xf>
    <xf numFmtId="0" fontId="48" fillId="0" borderId="17" xfId="8" applyFont="1" applyFill="1" applyBorder="1" applyAlignment="1">
      <alignment horizontal="center" vertical="center"/>
    </xf>
    <xf numFmtId="0" fontId="48" fillId="0" borderId="14" xfId="8" applyFont="1" applyFill="1" applyBorder="1" applyAlignment="1">
      <alignment horizontal="center" vertical="center"/>
    </xf>
    <xf numFmtId="43" fontId="34" fillId="0" borderId="2" xfId="19" applyFont="1" applyFill="1" applyBorder="1" applyAlignment="1">
      <alignment horizontal="center" vertical="center" wrapText="1"/>
    </xf>
    <xf numFmtId="0" fontId="53" fillId="0" borderId="20" xfId="8" applyFont="1" applyFill="1" applyBorder="1" applyAlignment="1">
      <alignment horizontal="center" vertical="center" wrapText="1"/>
    </xf>
    <xf numFmtId="0" fontId="53" fillId="0" borderId="14" xfId="8" applyFont="1" applyFill="1" applyBorder="1" applyAlignment="1">
      <alignment horizontal="center" vertical="center" wrapText="1"/>
    </xf>
    <xf numFmtId="0" fontId="35" fillId="0" borderId="42" xfId="8" applyFont="1" applyFill="1" applyBorder="1" applyAlignment="1">
      <alignment horizontal="center" vertical="center" wrapText="1"/>
    </xf>
    <xf numFmtId="0" fontId="35" fillId="0" borderId="17" xfId="8" applyFont="1" applyFill="1" applyBorder="1" applyAlignment="1">
      <alignment horizontal="center" vertical="center" wrapText="1"/>
    </xf>
    <xf numFmtId="0" fontId="35" fillId="0" borderId="31" xfId="8" applyFont="1" applyFill="1" applyBorder="1" applyAlignment="1">
      <alignment horizontal="center" vertical="center" wrapText="1"/>
    </xf>
    <xf numFmtId="43" fontId="34" fillId="0" borderId="3" xfId="19" applyFont="1" applyFill="1" applyBorder="1" applyAlignment="1">
      <alignment horizontal="center" vertical="center" wrapText="1"/>
    </xf>
    <xf numFmtId="43" fontId="34" fillId="0" borderId="5" xfId="19" applyFont="1" applyFill="1" applyBorder="1" applyAlignment="1">
      <alignment horizontal="center" vertical="center" wrapText="1"/>
    </xf>
    <xf numFmtId="43" fontId="34" fillId="0" borderId="43" xfId="19" applyFont="1" applyFill="1" applyBorder="1" applyAlignment="1">
      <alignment horizontal="center" vertical="center" wrapText="1"/>
    </xf>
    <xf numFmtId="43" fontId="34" fillId="0" borderId="76" xfId="19" applyFont="1" applyFill="1" applyBorder="1" applyAlignment="1">
      <alignment horizontal="center" vertical="center" wrapText="1"/>
    </xf>
    <xf numFmtId="0" fontId="34" fillId="0" borderId="2" xfId="8" applyFont="1" applyFill="1" applyBorder="1" applyAlignment="1">
      <alignment horizontal="left" vertical="center"/>
    </xf>
    <xf numFmtId="0" fontId="35" fillId="0" borderId="20" xfId="8" applyFont="1" applyFill="1" applyBorder="1" applyAlignment="1">
      <alignment horizontal="center" vertical="center" wrapText="1"/>
    </xf>
    <xf numFmtId="0" fontId="35" fillId="0" borderId="14" xfId="8" applyFont="1" applyFill="1" applyBorder="1" applyAlignment="1">
      <alignment horizontal="center" vertical="center" wrapText="1"/>
    </xf>
    <xf numFmtId="43" fontId="34" fillId="0" borderId="48" xfId="19" applyFont="1" applyFill="1" applyBorder="1" applyAlignment="1">
      <alignment horizontal="center" vertical="center" wrapText="1"/>
    </xf>
    <xf numFmtId="43" fontId="34" fillId="0" borderId="49" xfId="19" applyFont="1" applyFill="1" applyBorder="1" applyAlignment="1">
      <alignment horizontal="center" vertical="center" wrapText="1"/>
    </xf>
    <xf numFmtId="43" fontId="34" fillId="5" borderId="46" xfId="19" applyFont="1" applyFill="1" applyBorder="1" applyAlignment="1">
      <alignment horizontal="center" vertical="center"/>
    </xf>
    <xf numFmtId="43" fontId="34" fillId="5" borderId="0" xfId="19" applyFont="1" applyFill="1" applyBorder="1" applyAlignment="1">
      <alignment horizontal="center" vertical="center"/>
    </xf>
    <xf numFmtId="43" fontId="34" fillId="5" borderId="47" xfId="19" applyFont="1" applyFill="1" applyBorder="1" applyAlignment="1">
      <alignment horizontal="center" vertical="center"/>
    </xf>
    <xf numFmtId="43" fontId="34" fillId="5" borderId="2" xfId="19" applyFont="1" applyFill="1" applyBorder="1" applyAlignment="1">
      <alignment horizontal="left" vertical="center" wrapText="1"/>
    </xf>
    <xf numFmtId="0" fontId="34" fillId="0" borderId="14" xfId="8" applyFont="1" applyFill="1" applyBorder="1" applyAlignment="1">
      <alignment horizontal="left" vertical="center"/>
    </xf>
    <xf numFmtId="43" fontId="34" fillId="5" borderId="2" xfId="19" applyFont="1" applyFill="1" applyBorder="1" applyAlignment="1">
      <alignment horizontal="center" vertical="center"/>
    </xf>
    <xf numFmtId="43" fontId="34" fillId="0" borderId="3" xfId="19" applyFont="1" applyFill="1" applyBorder="1" applyAlignment="1">
      <alignment horizontal="center" vertical="center"/>
    </xf>
    <xf numFmtId="43" fontId="34" fillId="0" borderId="5" xfId="19" applyFont="1" applyFill="1" applyBorder="1" applyAlignment="1">
      <alignment horizontal="center" vertical="center"/>
    </xf>
    <xf numFmtId="0" fontId="34" fillId="0" borderId="20" xfId="8" applyFont="1" applyFill="1" applyBorder="1" applyAlignment="1">
      <alignment horizontal="center" vertical="center" wrapText="1"/>
    </xf>
    <xf numFmtId="0" fontId="34" fillId="0" borderId="17" xfId="8" applyFont="1" applyFill="1" applyBorder="1" applyAlignment="1">
      <alignment horizontal="center" vertical="center" wrapText="1"/>
    </xf>
    <xf numFmtId="0" fontId="34" fillId="0" borderId="31" xfId="8" applyFont="1" applyFill="1" applyBorder="1" applyAlignment="1">
      <alignment horizontal="center" vertical="center" wrapText="1"/>
    </xf>
    <xf numFmtId="43" fontId="34" fillId="5" borderId="20" xfId="19" applyFont="1" applyFill="1" applyBorder="1" applyAlignment="1">
      <alignment horizontal="left" vertical="center" wrapText="1"/>
    </xf>
    <xf numFmtId="43" fontId="34" fillId="0" borderId="2" xfId="19" applyFont="1" applyFill="1" applyBorder="1" applyAlignment="1">
      <alignment horizontal="center" vertical="center"/>
    </xf>
    <xf numFmtId="43" fontId="34" fillId="5" borderId="72" xfId="19" applyFont="1" applyFill="1" applyBorder="1" applyAlignment="1">
      <alignment horizontal="center" vertical="center"/>
    </xf>
    <xf numFmtId="43" fontId="34" fillId="5" borderId="70" xfId="19" applyFont="1" applyFill="1" applyBorder="1" applyAlignment="1">
      <alignment horizontal="center" vertical="center"/>
    </xf>
    <xf numFmtId="43" fontId="34" fillId="5" borderId="73" xfId="19" applyFont="1" applyFill="1" applyBorder="1" applyAlignment="1">
      <alignment horizontal="center" vertical="center"/>
    </xf>
    <xf numFmtId="0" fontId="50" fillId="0" borderId="45" xfId="8" applyFont="1" applyFill="1" applyBorder="1" applyAlignment="1">
      <alignment horizontal="center" vertical="center" wrapText="1"/>
    </xf>
    <xf numFmtId="0" fontId="50" fillId="0" borderId="33" xfId="8" applyFont="1" applyFill="1" applyBorder="1" applyAlignment="1">
      <alignment horizontal="center" vertical="center" wrapText="1"/>
    </xf>
    <xf numFmtId="0" fontId="35" fillId="0" borderId="54" xfId="8" applyFont="1" applyFill="1" applyBorder="1" applyAlignment="1">
      <alignment horizontal="center" vertical="center" wrapText="1"/>
    </xf>
    <xf numFmtId="0" fontId="35" fillId="0" borderId="30" xfId="8" applyFont="1" applyFill="1" applyBorder="1" applyAlignment="1">
      <alignment horizontal="center" vertical="center" wrapText="1"/>
    </xf>
    <xf numFmtId="43" fontId="34" fillId="0" borderId="36" xfId="19" applyFont="1" applyFill="1" applyBorder="1" applyAlignment="1">
      <alignment horizontal="center" vertical="center"/>
    </xf>
    <xf numFmtId="43" fontId="34" fillId="0" borderId="35" xfId="19" applyFont="1" applyFill="1" applyBorder="1" applyAlignment="1">
      <alignment horizontal="center" vertical="center"/>
    </xf>
    <xf numFmtId="0" fontId="35" fillId="0" borderId="24" xfId="8" applyFont="1" applyFill="1" applyBorder="1" applyAlignment="1">
      <alignment horizontal="center" vertical="center" wrapText="1"/>
    </xf>
    <xf numFmtId="0" fontId="35" fillId="0" borderId="45" xfId="8" applyFont="1" applyFill="1" applyBorder="1" applyAlignment="1">
      <alignment horizontal="center" vertical="center" wrapText="1"/>
    </xf>
    <xf numFmtId="0" fontId="35" fillId="0" borderId="33" xfId="8" applyFont="1" applyFill="1" applyBorder="1" applyAlignment="1">
      <alignment horizontal="center" vertical="center" wrapText="1"/>
    </xf>
    <xf numFmtId="0" fontId="49" fillId="0" borderId="56" xfId="8" applyFont="1" applyFill="1" applyBorder="1" applyAlignment="1">
      <alignment horizontal="center" vertical="center" wrapText="1"/>
    </xf>
    <xf numFmtId="0" fontId="49" fillId="0" borderId="33" xfId="8" applyFont="1" applyFill="1" applyBorder="1" applyAlignment="1">
      <alignment horizontal="center" vertical="center" wrapText="1"/>
    </xf>
    <xf numFmtId="0" fontId="55" fillId="5" borderId="79" xfId="8" applyFont="1" applyFill="1" applyBorder="1" applyAlignment="1">
      <alignment horizontal="left" vertical="center" wrapText="1"/>
    </xf>
    <xf numFmtId="0" fontId="55" fillId="5" borderId="38" xfId="8" applyFont="1" applyFill="1" applyBorder="1" applyAlignment="1">
      <alignment horizontal="left" vertical="center" wrapText="1"/>
    </xf>
    <xf numFmtId="0" fontId="55" fillId="5" borderId="80" xfId="8" applyFont="1" applyFill="1" applyBorder="1" applyAlignment="1">
      <alignment horizontal="left" vertical="center" wrapText="1"/>
    </xf>
    <xf numFmtId="0" fontId="34" fillId="0" borderId="3" xfId="8" applyFont="1" applyFill="1" applyBorder="1" applyAlignment="1">
      <alignment horizontal="center" vertical="center"/>
    </xf>
    <xf numFmtId="0" fontId="34" fillId="0" borderId="4" xfId="8" applyFont="1" applyFill="1" applyBorder="1" applyAlignment="1">
      <alignment horizontal="center" vertical="center"/>
    </xf>
    <xf numFmtId="0" fontId="34" fillId="0" borderId="5" xfId="8" applyFont="1" applyFill="1" applyBorder="1" applyAlignment="1">
      <alignment horizontal="center" vertical="center"/>
    </xf>
    <xf numFmtId="0" fontId="34" fillId="0" borderId="48" xfId="8" applyFont="1" applyFill="1" applyBorder="1" applyAlignment="1">
      <alignment horizontal="center" vertical="center" wrapText="1"/>
    </xf>
    <xf numFmtId="0" fontId="34" fillId="0" borderId="49" xfId="8" applyFont="1" applyFill="1" applyBorder="1" applyAlignment="1">
      <alignment horizontal="center" vertical="center" wrapText="1"/>
    </xf>
    <xf numFmtId="43" fontId="34" fillId="0" borderId="45" xfId="19" applyFont="1" applyFill="1" applyBorder="1" applyAlignment="1">
      <alignment horizontal="center" vertical="center" wrapText="1"/>
    </xf>
    <xf numFmtId="43" fontId="34" fillId="0" borderId="33" xfId="19" applyFont="1" applyFill="1" applyBorder="1" applyAlignment="1">
      <alignment horizontal="center" vertical="center" wrapText="1"/>
    </xf>
    <xf numFmtId="0" fontId="34" fillId="0" borderId="75" xfId="8" applyFont="1" applyFill="1" applyBorder="1" applyAlignment="1">
      <alignment horizontal="center" vertical="center"/>
    </xf>
    <xf numFmtId="0" fontId="34" fillId="0" borderId="45" xfId="8" applyFont="1" applyFill="1" applyBorder="1" applyAlignment="1">
      <alignment horizontal="left" vertical="center" wrapText="1"/>
    </xf>
    <xf numFmtId="0" fontId="34" fillId="0" borderId="56" xfId="8" applyFont="1" applyFill="1" applyBorder="1" applyAlignment="1">
      <alignment horizontal="left" vertical="center" wrapText="1"/>
    </xf>
    <xf numFmtId="0" fontId="34" fillId="0" borderId="33" xfId="8" applyFont="1" applyFill="1" applyBorder="1" applyAlignment="1">
      <alignment horizontal="left" vertical="center" wrapText="1"/>
    </xf>
    <xf numFmtId="43" fontId="34" fillId="13" borderId="2" xfId="19" applyFont="1" applyFill="1" applyBorder="1" applyAlignment="1">
      <alignment horizontal="center" vertical="center" wrapText="1"/>
    </xf>
    <xf numFmtId="43" fontId="34" fillId="13" borderId="72" xfId="19" applyFont="1" applyFill="1" applyBorder="1" applyAlignment="1">
      <alignment horizontal="center" vertical="center"/>
    </xf>
    <xf numFmtId="43" fontId="34" fillId="13" borderId="70" xfId="19" applyFont="1" applyFill="1" applyBorder="1" applyAlignment="1">
      <alignment horizontal="center" vertical="center"/>
    </xf>
    <xf numFmtId="43" fontId="34" fillId="13" borderId="73" xfId="19" applyFont="1" applyFill="1" applyBorder="1" applyAlignment="1">
      <alignment horizontal="center" vertical="center"/>
    </xf>
    <xf numFmtId="0" fontId="34" fillId="0" borderId="2" xfId="8" applyFont="1" applyFill="1" applyBorder="1" applyAlignment="1">
      <alignment horizontal="center" vertical="center"/>
    </xf>
    <xf numFmtId="43" fontId="34" fillId="0" borderId="3" xfId="19" applyFont="1" applyFill="1" applyBorder="1" applyAlignment="1">
      <alignment horizontal="left" vertical="center"/>
    </xf>
    <xf numFmtId="43" fontId="34" fillId="0" borderId="5" xfId="19" applyFont="1" applyFill="1" applyBorder="1" applyAlignment="1">
      <alignment horizontal="left" vertical="center"/>
    </xf>
    <xf numFmtId="43" fontId="34" fillId="5" borderId="48" xfId="19" applyFont="1" applyFill="1" applyBorder="1" applyAlignment="1">
      <alignment horizontal="left" vertical="center" wrapText="1"/>
    </xf>
    <xf numFmtId="43" fontId="34" fillId="5" borderId="49" xfId="19" applyFont="1" applyFill="1" applyBorder="1" applyAlignment="1">
      <alignment horizontal="left" vertical="center" wrapText="1"/>
    </xf>
    <xf numFmtId="0" fontId="34" fillId="0" borderId="74" xfId="8" applyFont="1" applyFill="1" applyBorder="1" applyAlignment="1">
      <alignment horizontal="center" vertical="center"/>
    </xf>
    <xf numFmtId="0" fontId="34" fillId="0" borderId="78" xfId="8" applyFont="1" applyFill="1" applyBorder="1" applyAlignment="1">
      <alignment horizontal="center" vertical="center"/>
    </xf>
    <xf numFmtId="2" fontId="27" fillId="11" borderId="36" xfId="11" applyNumberFormat="1" applyFont="1" applyFill="1" applyBorder="1" applyAlignment="1">
      <alignment horizontal="left" vertical="center" wrapText="1"/>
    </xf>
    <xf numFmtId="2" fontId="27" fillId="11" borderId="37" xfId="11" applyNumberFormat="1" applyFont="1" applyFill="1" applyBorder="1" applyAlignment="1">
      <alignment horizontal="left" vertical="center" wrapText="1"/>
    </xf>
    <xf numFmtId="2" fontId="27" fillId="11" borderId="35" xfId="11" applyNumberFormat="1" applyFont="1" applyFill="1" applyBorder="1" applyAlignment="1">
      <alignment horizontal="left" vertical="center" wrapText="1"/>
    </xf>
    <xf numFmtId="0" fontId="36" fillId="7" borderId="45" xfId="8" applyFont="1" applyFill="1" applyBorder="1" applyAlignment="1">
      <alignment horizontal="left" vertical="center" wrapText="1"/>
    </xf>
    <xf numFmtId="0" fontId="36" fillId="7" borderId="56" xfId="8" applyFont="1" applyFill="1" applyBorder="1" applyAlignment="1">
      <alignment horizontal="left" vertical="center" wrapText="1"/>
    </xf>
    <xf numFmtId="0" fontId="36" fillId="7" borderId="33" xfId="8" applyFont="1" applyFill="1" applyBorder="1" applyAlignment="1">
      <alignment horizontal="left" vertical="center" wrapText="1"/>
    </xf>
    <xf numFmtId="0" fontId="18" fillId="0" borderId="43" xfId="7" applyFont="1" applyFill="1" applyBorder="1" applyAlignment="1">
      <alignment horizontal="center"/>
    </xf>
    <xf numFmtId="0" fontId="18" fillId="0" borderId="81" xfId="7" applyFont="1" applyFill="1" applyBorder="1" applyAlignment="1">
      <alignment horizontal="center"/>
    </xf>
    <xf numFmtId="0" fontId="35" fillId="0" borderId="2" xfId="8" applyFont="1" applyFill="1" applyBorder="1" applyAlignment="1">
      <alignment horizontal="center" vertical="center" wrapText="1"/>
    </xf>
    <xf numFmtId="0" fontId="18" fillId="0" borderId="43" xfId="7" applyFont="1" applyFill="1" applyBorder="1" applyAlignment="1">
      <alignment horizontal="center" wrapText="1"/>
    </xf>
    <xf numFmtId="0" fontId="18" fillId="0" borderId="75" xfId="7" applyFont="1" applyFill="1" applyBorder="1" applyAlignment="1">
      <alignment horizontal="center"/>
    </xf>
    <xf numFmtId="0" fontId="18" fillId="0" borderId="25" xfId="7" applyFont="1" applyFill="1" applyBorder="1" applyAlignment="1">
      <alignment horizontal="left" vertical="center"/>
    </xf>
    <xf numFmtId="0" fontId="18" fillId="0" borderId="2" xfId="7" applyFont="1" applyFill="1" applyBorder="1" applyAlignment="1">
      <alignment horizontal="left" vertical="center"/>
    </xf>
    <xf numFmtId="0" fontId="18" fillId="0" borderId="23" xfId="7" applyFont="1" applyFill="1" applyBorder="1" applyAlignment="1">
      <alignment horizontal="left" vertical="center"/>
    </xf>
    <xf numFmtId="0" fontId="4" fillId="0" borderId="79" xfId="7" applyFont="1" applyFill="1" applyBorder="1" applyAlignment="1">
      <alignment horizontal="left" vertical="center" wrapText="1"/>
    </xf>
    <xf numFmtId="0" fontId="4" fillId="0" borderId="38" xfId="7" applyFont="1" applyFill="1" applyBorder="1" applyAlignment="1">
      <alignment horizontal="left" vertical="center" wrapText="1"/>
    </xf>
    <xf numFmtId="0" fontId="4" fillId="0" borderId="80" xfId="7" applyFont="1" applyFill="1" applyBorder="1" applyAlignment="1">
      <alignment horizontal="left" vertical="center" wrapText="1"/>
    </xf>
    <xf numFmtId="0" fontId="4" fillId="0" borderId="25" xfId="7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center" vertical="center" wrapText="1"/>
    </xf>
    <xf numFmtId="43" fontId="35" fillId="5" borderId="13" xfId="19" applyFont="1" applyFill="1" applyBorder="1" applyAlignment="1">
      <alignment horizontal="center" vertical="center"/>
    </xf>
    <xf numFmtId="0" fontId="18" fillId="0" borderId="14" xfId="7" applyFont="1" applyFill="1" applyBorder="1" applyAlignment="1">
      <alignment horizontal="center" vertical="center"/>
    </xf>
    <xf numFmtId="0" fontId="18" fillId="0" borderId="23" xfId="7" applyFont="1" applyFill="1" applyBorder="1" applyAlignment="1">
      <alignment horizontal="center" vertical="center"/>
    </xf>
    <xf numFmtId="14" fontId="18" fillId="4" borderId="2" xfId="7" applyNumberFormat="1" applyFont="1" applyFill="1" applyBorder="1" applyAlignment="1">
      <alignment horizontal="center" vertical="center"/>
    </xf>
    <xf numFmtId="0" fontId="18" fillId="4" borderId="23" xfId="7" applyFont="1" applyFill="1" applyBorder="1" applyAlignment="1">
      <alignment horizontal="center" vertical="center"/>
    </xf>
    <xf numFmtId="0" fontId="18" fillId="0" borderId="74" xfId="7" applyFont="1" applyFill="1" applyBorder="1" applyAlignment="1">
      <alignment horizontal="left" vertical="center"/>
    </xf>
    <xf numFmtId="0" fontId="18" fillId="0" borderId="4" xfId="7" applyFont="1" applyFill="1" applyBorder="1" applyAlignment="1">
      <alignment horizontal="left" vertical="center"/>
    </xf>
    <xf numFmtId="0" fontId="18" fillId="0" borderId="5" xfId="7" applyFont="1" applyFill="1" applyBorder="1" applyAlignment="1">
      <alignment horizontal="left" vertical="center"/>
    </xf>
    <xf numFmtId="0" fontId="18" fillId="0" borderId="3" xfId="7" applyFont="1" applyFill="1" applyBorder="1" applyAlignment="1">
      <alignment horizontal="center" vertical="center"/>
    </xf>
    <xf numFmtId="0" fontId="18" fillId="0" borderId="51" xfId="7" applyFont="1" applyFill="1" applyBorder="1" applyAlignment="1">
      <alignment horizontal="center" vertical="center"/>
    </xf>
    <xf numFmtId="43" fontId="36" fillId="0" borderId="13" xfId="19" applyFont="1" applyFill="1" applyBorder="1" applyAlignment="1">
      <alignment horizontal="left" vertical="center" wrapText="1"/>
    </xf>
    <xf numFmtId="43" fontId="34" fillId="13" borderId="45" xfId="19" applyFont="1" applyFill="1" applyBorder="1" applyAlignment="1">
      <alignment horizontal="center" vertical="center"/>
    </xf>
    <xf numFmtId="43" fontId="34" fillId="13" borderId="56" xfId="19" applyFont="1" applyFill="1" applyBorder="1" applyAlignment="1">
      <alignment horizontal="center" vertical="center"/>
    </xf>
    <xf numFmtId="43" fontId="34" fillId="13" borderId="33" xfId="19" applyFont="1" applyFill="1" applyBorder="1" applyAlignment="1">
      <alignment horizontal="center" vertical="center"/>
    </xf>
    <xf numFmtId="0" fontId="51" fillId="0" borderId="2" xfId="8" applyFont="1" applyFill="1" applyBorder="1" applyAlignment="1">
      <alignment horizontal="center" vertical="center"/>
    </xf>
    <xf numFmtId="0" fontId="34" fillId="0" borderId="35" xfId="8" applyFont="1" applyFill="1" applyBorder="1" applyAlignment="1">
      <alignment horizontal="center" vertical="center" wrapText="1"/>
    </xf>
    <xf numFmtId="0" fontId="34" fillId="0" borderId="47" xfId="8" applyFont="1" applyFill="1" applyBorder="1" applyAlignment="1">
      <alignment horizontal="center" vertical="center" wrapText="1"/>
    </xf>
    <xf numFmtId="0" fontId="35" fillId="0" borderId="20" xfId="8" applyFont="1" applyFill="1" applyBorder="1" applyAlignment="1">
      <alignment horizontal="center" vertical="center"/>
    </xf>
    <xf numFmtId="0" fontId="53" fillId="0" borderId="73" xfId="8" applyFont="1" applyFill="1" applyBorder="1" applyAlignment="1">
      <alignment horizontal="center" vertical="center" wrapText="1"/>
    </xf>
    <xf numFmtId="0" fontId="53" fillId="0" borderId="47" xfId="8" applyFont="1" applyFill="1" applyBorder="1" applyAlignment="1">
      <alignment horizontal="center" vertical="center" wrapText="1"/>
    </xf>
    <xf numFmtId="43" fontId="34" fillId="11" borderId="3" xfId="19" applyFont="1" applyFill="1" applyBorder="1" applyAlignment="1">
      <alignment horizontal="left" vertical="center"/>
    </xf>
    <xf numFmtId="43" fontId="34" fillId="11" borderId="5" xfId="19" applyFont="1" applyFill="1" applyBorder="1" applyAlignment="1">
      <alignment horizontal="left" vertical="center"/>
    </xf>
    <xf numFmtId="43" fontId="34" fillId="11" borderId="48" xfId="19" applyFont="1" applyFill="1" applyBorder="1" applyAlignment="1">
      <alignment horizontal="left" vertical="center"/>
    </xf>
    <xf numFmtId="43" fontId="34" fillId="11" borderId="49" xfId="19" applyFont="1" applyFill="1" applyBorder="1" applyAlignment="1">
      <alignment horizontal="left" vertical="center"/>
    </xf>
    <xf numFmtId="0" fontId="34" fillId="0" borderId="3" xfId="8" applyFont="1" applyFill="1" applyBorder="1" applyAlignment="1">
      <alignment horizontal="left" vertical="center"/>
    </xf>
    <xf numFmtId="0" fontId="34" fillId="0" borderId="5" xfId="8" applyFont="1" applyFill="1" applyBorder="1" applyAlignment="1">
      <alignment horizontal="left" vertical="center"/>
    </xf>
    <xf numFmtId="0" fontId="34" fillId="0" borderId="48" xfId="8" applyFont="1" applyFill="1" applyBorder="1" applyAlignment="1">
      <alignment horizontal="left" vertical="center" wrapText="1"/>
    </xf>
    <xf numFmtId="0" fontId="34" fillId="0" borderId="49" xfId="8" applyFont="1" applyFill="1" applyBorder="1" applyAlignment="1">
      <alignment horizontal="left" vertical="center" wrapText="1"/>
    </xf>
    <xf numFmtId="0" fontId="0" fillId="0" borderId="35" xfId="0" applyBorder="1"/>
    <xf numFmtId="0" fontId="34" fillId="0" borderId="14" xfId="8" applyFont="1" applyFill="1" applyBorder="1" applyAlignment="1">
      <alignment horizontal="center" vertical="center" wrapText="1"/>
    </xf>
    <xf numFmtId="43" fontId="34" fillId="5" borderId="36" xfId="19" applyFont="1" applyFill="1" applyBorder="1" applyAlignment="1">
      <alignment horizontal="center" vertical="center"/>
    </xf>
    <xf numFmtId="43" fontId="34" fillId="5" borderId="35" xfId="19" applyFont="1" applyFill="1" applyBorder="1" applyAlignment="1">
      <alignment horizontal="center" vertical="center"/>
    </xf>
    <xf numFmtId="43" fontId="34" fillId="0" borderId="28" xfId="19" applyFont="1" applyFill="1" applyBorder="1" applyAlignment="1">
      <alignment horizontal="center" vertical="center" wrapText="1"/>
    </xf>
    <xf numFmtId="43" fontId="34" fillId="0" borderId="26" xfId="19" applyFont="1" applyFill="1" applyBorder="1" applyAlignment="1">
      <alignment horizontal="center" vertical="center" wrapText="1"/>
    </xf>
    <xf numFmtId="0" fontId="34" fillId="0" borderId="2" xfId="8" applyFont="1" applyFill="1" applyBorder="1" applyAlignment="1">
      <alignment horizontal="center" vertical="center" wrapText="1"/>
    </xf>
    <xf numFmtId="0" fontId="34" fillId="0" borderId="24" xfId="8" applyFont="1" applyFill="1" applyBorder="1" applyAlignment="1">
      <alignment horizontal="center" vertical="center" wrapText="1"/>
    </xf>
    <xf numFmtId="43" fontId="34" fillId="0" borderId="46" xfId="19" applyFont="1" applyFill="1" applyBorder="1" applyAlignment="1">
      <alignment horizontal="center" vertical="center" wrapText="1"/>
    </xf>
    <xf numFmtId="43" fontId="34" fillId="0" borderId="47" xfId="19" applyFont="1" applyFill="1" applyBorder="1" applyAlignment="1">
      <alignment horizontal="center" vertical="center" wrapText="1"/>
    </xf>
    <xf numFmtId="0" fontId="34" fillId="0" borderId="14" xfId="8" applyFont="1" applyFill="1" applyBorder="1" applyAlignment="1">
      <alignment horizontal="center" vertical="center"/>
    </xf>
    <xf numFmtId="0" fontId="34" fillId="0" borderId="24" xfId="8" applyFont="1" applyFill="1" applyBorder="1" applyAlignment="1">
      <alignment horizontal="center" vertical="center"/>
    </xf>
    <xf numFmtId="0" fontId="34" fillId="0" borderId="42" xfId="8" applyFont="1" applyFill="1" applyBorder="1" applyAlignment="1">
      <alignment horizontal="center" vertical="center" wrapText="1"/>
    </xf>
    <xf numFmtId="43" fontId="34" fillId="0" borderId="45" xfId="19" applyFont="1" applyFill="1" applyBorder="1" applyAlignment="1">
      <alignment horizontal="center" vertical="center"/>
    </xf>
    <xf numFmtId="43" fontId="34" fillId="0" borderId="56" xfId="19" applyFont="1" applyFill="1" applyBorder="1" applyAlignment="1">
      <alignment horizontal="center" vertical="center"/>
    </xf>
    <xf numFmtId="43" fontId="34" fillId="0" borderId="33" xfId="19" applyFont="1" applyFill="1" applyBorder="1" applyAlignment="1">
      <alignment horizontal="center" vertical="center"/>
    </xf>
    <xf numFmtId="0" fontId="34" fillId="5" borderId="35" xfId="8" applyFont="1" applyFill="1" applyBorder="1" applyAlignment="1">
      <alignment horizontal="center" vertical="center"/>
    </xf>
    <xf numFmtId="0" fontId="34" fillId="5" borderId="47" xfId="8" applyFont="1" applyFill="1" applyBorder="1" applyAlignment="1">
      <alignment horizontal="center" vertical="center"/>
    </xf>
    <xf numFmtId="0" fontId="34" fillId="5" borderId="77" xfId="8" applyFont="1" applyFill="1" applyBorder="1" applyAlignment="1">
      <alignment horizontal="center" vertical="center"/>
    </xf>
    <xf numFmtId="0" fontId="44" fillId="11" borderId="45" xfId="0" applyFont="1" applyFill="1" applyBorder="1" applyAlignment="1">
      <alignment horizontal="center" wrapText="1"/>
    </xf>
    <xf numFmtId="0" fontId="44" fillId="11" borderId="56" xfId="0" applyFont="1" applyFill="1" applyBorder="1" applyAlignment="1">
      <alignment horizontal="center" wrapText="1"/>
    </xf>
    <xf numFmtId="0" fontId="44" fillId="11" borderId="33" xfId="0" applyFont="1" applyFill="1" applyBorder="1" applyAlignment="1">
      <alignment horizontal="center" wrapText="1"/>
    </xf>
    <xf numFmtId="0" fontId="34" fillId="0" borderId="37" xfId="8" applyFont="1" applyFill="1" applyBorder="1" applyAlignment="1">
      <alignment horizontal="left" vertical="center" wrapText="1"/>
    </xf>
    <xf numFmtId="0" fontId="36" fillId="5" borderId="45" xfId="8" applyFont="1" applyFill="1" applyBorder="1" applyAlignment="1">
      <alignment horizontal="left" vertical="center" wrapText="1"/>
    </xf>
    <xf numFmtId="0" fontId="36" fillId="5" borderId="56" xfId="8" applyFont="1" applyFill="1" applyBorder="1" applyAlignment="1">
      <alignment horizontal="left" vertical="center" wrapText="1"/>
    </xf>
    <xf numFmtId="0" fontId="36" fillId="5" borderId="33" xfId="8" applyFont="1" applyFill="1" applyBorder="1" applyAlignment="1">
      <alignment horizontal="left" vertical="center" wrapText="1"/>
    </xf>
    <xf numFmtId="0" fontId="36" fillId="7" borderId="45" xfId="8" applyFont="1" applyFill="1" applyBorder="1" applyAlignment="1">
      <alignment horizontal="left" vertical="top" wrapText="1"/>
    </xf>
    <xf numFmtId="0" fontId="36" fillId="7" borderId="56" xfId="8" applyFont="1" applyFill="1" applyBorder="1" applyAlignment="1">
      <alignment horizontal="left" vertical="top" wrapText="1"/>
    </xf>
    <xf numFmtId="0" fontId="36" fillId="7" borderId="33" xfId="8" applyFont="1" applyFill="1" applyBorder="1" applyAlignment="1">
      <alignment horizontal="left" vertical="top" wrapText="1"/>
    </xf>
    <xf numFmtId="0" fontId="34" fillId="0" borderId="38" xfId="8" applyFont="1" applyFill="1" applyBorder="1" applyAlignment="1">
      <alignment horizontal="left" vertical="center" wrapText="1"/>
    </xf>
    <xf numFmtId="0" fontId="50" fillId="0" borderId="17" xfId="8" applyFont="1" applyFill="1" applyBorder="1" applyAlignment="1">
      <alignment horizontal="center" vertical="center" wrapText="1"/>
    </xf>
    <xf numFmtId="0" fontId="50" fillId="0" borderId="14" xfId="8" applyFont="1" applyFill="1" applyBorder="1" applyAlignment="1">
      <alignment horizontal="center" vertical="center" wrapText="1"/>
    </xf>
    <xf numFmtId="43" fontId="34" fillId="0" borderId="24" xfId="19" applyFont="1" applyFill="1" applyBorder="1" applyAlignment="1">
      <alignment horizontal="center" vertical="center" wrapText="1"/>
    </xf>
    <xf numFmtId="43" fontId="35" fillId="6" borderId="13" xfId="19" applyFont="1" applyFill="1" applyBorder="1" applyAlignment="1">
      <alignment horizontal="left" vertical="center"/>
    </xf>
    <xf numFmtId="43" fontId="35" fillId="6" borderId="12" xfId="19" applyFont="1" applyFill="1" applyBorder="1" applyAlignment="1">
      <alignment horizontal="left" vertical="center"/>
    </xf>
    <xf numFmtId="0" fontId="20" fillId="0" borderId="39" xfId="6" applyFont="1" applyFill="1" applyBorder="1" applyAlignment="1">
      <alignment horizontal="left" vertical="center" wrapText="1"/>
    </xf>
    <xf numFmtId="0" fontId="20" fillId="0" borderId="56" xfId="6" applyFont="1" applyFill="1" applyBorder="1" applyAlignment="1">
      <alignment horizontal="left" vertical="center" wrapText="1"/>
    </xf>
    <xf numFmtId="0" fontId="20" fillId="0" borderId="33" xfId="6" applyFont="1" applyFill="1" applyBorder="1" applyAlignment="1">
      <alignment horizontal="left" vertical="center" wrapText="1"/>
    </xf>
    <xf numFmtId="0" fontId="20" fillId="0" borderId="3" xfId="6" applyFont="1" applyFill="1" applyBorder="1" applyAlignment="1">
      <alignment horizontal="left" vertical="center"/>
    </xf>
    <xf numFmtId="0" fontId="20" fillId="0" borderId="4" xfId="6" applyFont="1" applyFill="1" applyBorder="1" applyAlignment="1">
      <alignment horizontal="left" vertical="center"/>
    </xf>
    <xf numFmtId="0" fontId="23" fillId="0" borderId="48" xfId="6" applyFont="1" applyFill="1" applyBorder="1" applyAlignment="1">
      <alignment horizontal="center" vertical="center" wrapText="1"/>
    </xf>
    <xf numFmtId="0" fontId="23" fillId="0" borderId="38" xfId="6" applyFont="1" applyFill="1" applyBorder="1" applyAlignment="1">
      <alignment horizontal="center" vertical="center" wrapText="1"/>
    </xf>
    <xf numFmtId="0" fontId="23" fillId="0" borderId="49" xfId="6" applyFont="1" applyFill="1" applyBorder="1" applyAlignment="1">
      <alignment horizontal="center" vertical="center" wrapText="1"/>
    </xf>
    <xf numFmtId="0" fontId="23" fillId="0" borderId="37" xfId="6" applyFont="1" applyFill="1" applyBorder="1" applyAlignment="1">
      <alignment horizontal="center" vertical="center" wrapText="1"/>
    </xf>
    <xf numFmtId="0" fontId="23" fillId="0" borderId="35" xfId="6" applyFont="1" applyFill="1" applyBorder="1" applyAlignment="1">
      <alignment horizontal="center" vertical="center" wrapText="1"/>
    </xf>
    <xf numFmtId="0" fontId="33" fillId="0" borderId="2" xfId="7" applyFont="1" applyBorder="1" applyAlignment="1">
      <alignment horizontal="center" vertical="center"/>
    </xf>
  </cellXfs>
  <cellStyles count="33">
    <cellStyle name="Excel Built-in Excel Built-in Excel Built-in Excel Built-in Excel Built-in Excel Built-in Excel Built-in Separador de milhares 4" xfId="1"/>
    <cellStyle name="Excel Built-in Normal" xfId="2"/>
    <cellStyle name="Moeda 2" xfId="3"/>
    <cellStyle name="Moeda 2 2" xfId="4"/>
    <cellStyle name="Moeda 3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6" xfId="12"/>
    <cellStyle name="Porcentagem 2" xfId="13"/>
    <cellStyle name="Porcentagem 2 2" xfId="14"/>
    <cellStyle name="Porcentagem 2 3" xfId="15"/>
    <cellStyle name="Porcentagem 3" xfId="16"/>
    <cellStyle name="Separador de milhares 2" xfId="18"/>
    <cellStyle name="Separador de milhares 2 2" xfId="19"/>
    <cellStyle name="Separador de milhares 2 2 2" xfId="20"/>
    <cellStyle name="Separador de milhares 2 3" xfId="21"/>
    <cellStyle name="Separador de milhares 3" xfId="22"/>
    <cellStyle name="Separador de milhares 3 2" xfId="23"/>
    <cellStyle name="Separador de milhares 4" xfId="24"/>
    <cellStyle name="Separador de milhares 5" xfId="25"/>
    <cellStyle name="Separador de milhares 5 2" xfId="26"/>
    <cellStyle name="Separador de milhares 6" xfId="27"/>
    <cellStyle name="Separador de milhares 6 2" xfId="28"/>
    <cellStyle name="Título 1 1" xfId="29"/>
    <cellStyle name="Título 1 1 1" xfId="30"/>
    <cellStyle name="Vírgula" xfId="17" builtinId="3"/>
    <cellStyle name="Vírgula 2" xfId="31"/>
    <cellStyle name="Vírgula 2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emf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35</xdr:row>
          <xdr:rowOff>123825</xdr:rowOff>
        </xdr:from>
        <xdr:to>
          <xdr:col>1</xdr:col>
          <xdr:colOff>714375</xdr:colOff>
          <xdr:row>40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66675</xdr:rowOff>
        </xdr:from>
        <xdr:to>
          <xdr:col>1</xdr:col>
          <xdr:colOff>361950</xdr:colOff>
          <xdr:row>3</xdr:row>
          <xdr:rowOff>161925</xdr:rowOff>
        </xdr:to>
        <xdr:sp macro="" textlink="">
          <xdr:nvSpPr>
            <xdr:cNvPr id="4373" name="Object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11</xdr:row>
      <xdr:rowOff>219075</xdr:rowOff>
    </xdr:to>
    <xdr:pic>
      <xdr:nvPicPr>
        <xdr:cNvPr id="23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2695575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0</xdr:colOff>
      <xdr:row>6</xdr:row>
      <xdr:rowOff>9525</xdr:rowOff>
    </xdr:to>
    <xdr:pic>
      <xdr:nvPicPr>
        <xdr:cNvPr id="23791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010150" y="1419225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23792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10150" y="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1228725</xdr:colOff>
      <xdr:row>0</xdr:row>
      <xdr:rowOff>0</xdr:rowOff>
    </xdr:from>
    <xdr:to>
      <xdr:col>10</xdr:col>
      <xdr:colOff>9525</xdr:colOff>
      <xdr:row>0</xdr:row>
      <xdr:rowOff>9525</xdr:rowOff>
    </xdr:to>
    <xdr:pic>
      <xdr:nvPicPr>
        <xdr:cNvPr id="2379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449175" y="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723900</xdr:colOff>
      <xdr:row>8</xdr:row>
      <xdr:rowOff>0</xdr:rowOff>
    </xdr:from>
    <xdr:to>
      <xdr:col>8</xdr:col>
      <xdr:colOff>9525</xdr:colOff>
      <xdr:row>11</xdr:row>
      <xdr:rowOff>219075</xdr:rowOff>
    </xdr:to>
    <xdr:pic>
      <xdr:nvPicPr>
        <xdr:cNvPr id="2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9975" y="2695575"/>
          <a:ext cx="95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476250</xdr:colOff>
          <xdr:row>0</xdr:row>
          <xdr:rowOff>57150</xdr:rowOff>
        </xdr:from>
        <xdr:to>
          <xdr:col>1</xdr:col>
          <xdr:colOff>1352550</xdr:colOff>
          <xdr:row>3</xdr:row>
          <xdr:rowOff>352425</xdr:rowOff>
        </xdr:to>
        <xdr:sp macro="" textlink="">
          <xdr:nvSpPr>
            <xdr:cNvPr id="9867" name="Object 1675" hidden="1">
              <a:extLst>
                <a:ext uri="{63B3BB69-23CF-44E3-9099-C40C66FF867C}">
                  <a14:compatExt spid="_x0000_s9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0</xdr:row>
      <xdr:rowOff>0</xdr:rowOff>
    </xdr:from>
    <xdr:to>
      <xdr:col>3</xdr:col>
      <xdr:colOff>0</xdr:colOff>
      <xdr:row>0</xdr:row>
      <xdr:rowOff>9525</xdr:rowOff>
    </xdr:to>
    <xdr:pic>
      <xdr:nvPicPr>
        <xdr:cNvPr id="2097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3225" y="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5</xdr:col>
      <xdr:colOff>495300</xdr:colOff>
      <xdr:row>0</xdr:row>
      <xdr:rowOff>685800</xdr:rowOff>
    </xdr:to>
    <xdr:pic>
      <xdr:nvPicPr>
        <xdr:cNvPr id="20975" name="Imagem 1" descr="logo_201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9525" y="0"/>
          <a:ext cx="11239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0</xdr:row>
          <xdr:rowOff>57150</xdr:rowOff>
        </xdr:from>
        <xdr:to>
          <xdr:col>0</xdr:col>
          <xdr:colOff>800100</xdr:colOff>
          <xdr:row>0</xdr:row>
          <xdr:rowOff>714375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447675</xdr:colOff>
          <xdr:row>0</xdr:row>
          <xdr:rowOff>104775</xdr:rowOff>
        </xdr:from>
        <xdr:to>
          <xdr:col>8</xdr:col>
          <xdr:colOff>104775</xdr:colOff>
          <xdr:row>0</xdr:row>
          <xdr:rowOff>1000125</xdr:rowOff>
        </xdr:to>
        <xdr:sp macro="" textlink="">
          <xdr:nvSpPr>
            <xdr:cNvPr id="10338" name="Object 98" hidden="1">
              <a:extLst>
                <a:ext uri="{63B3BB69-23CF-44E3-9099-C40C66FF867C}">
                  <a14:compatExt spid="_x0000_s10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457200</xdr:colOff>
          <xdr:row>0</xdr:row>
          <xdr:rowOff>133350</xdr:rowOff>
        </xdr:from>
        <xdr:to>
          <xdr:col>8</xdr:col>
          <xdr:colOff>133350</xdr:colOff>
          <xdr:row>0</xdr:row>
          <xdr:rowOff>1047750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BreakPreview" zoomScaleSheetLayoutView="100" workbookViewId="0">
      <selection activeCell="B26" sqref="B26"/>
    </sheetView>
  </sheetViews>
  <sheetFormatPr defaultRowHeight="12.75"/>
  <cols>
    <col min="1" max="1" width="54.85546875" style="66" customWidth="1"/>
    <col min="2" max="2" width="11.85546875" style="66" customWidth="1"/>
    <col min="3" max="3" width="11.140625" style="66" customWidth="1"/>
    <col min="4" max="4" width="4" style="66" customWidth="1"/>
    <col min="5" max="16384" width="9.140625" style="32"/>
  </cols>
  <sheetData>
    <row r="1" spans="1:9">
      <c r="A1" s="697" t="s">
        <v>34</v>
      </c>
      <c r="B1" s="698"/>
      <c r="C1" s="698"/>
      <c r="D1" s="699"/>
    </row>
    <row r="2" spans="1:9">
      <c r="A2" s="700"/>
      <c r="B2" s="701"/>
      <c r="C2" s="701"/>
      <c r="D2" s="702"/>
    </row>
    <row r="3" spans="1:9">
      <c r="A3" s="700"/>
      <c r="B3" s="701"/>
      <c r="C3" s="701"/>
      <c r="D3" s="702"/>
    </row>
    <row r="4" spans="1:9">
      <c r="A4" s="700"/>
      <c r="B4" s="701"/>
      <c r="C4" s="701"/>
      <c r="D4" s="702"/>
    </row>
    <row r="5" spans="1:9">
      <c r="A5" s="700"/>
      <c r="B5" s="701"/>
      <c r="C5" s="701"/>
      <c r="D5" s="702"/>
    </row>
    <row r="6" spans="1:9" ht="13.5" thickBot="1">
      <c r="A6" s="703"/>
      <c r="B6" s="704"/>
      <c r="C6" s="704"/>
      <c r="D6" s="705"/>
    </row>
    <row r="7" spans="1:9" ht="25.5" customHeight="1" thickBot="1">
      <c r="A7" s="706" t="s">
        <v>35</v>
      </c>
      <c r="B7" s="707"/>
      <c r="C7" s="707"/>
      <c r="D7" s="708"/>
      <c r="E7" s="33"/>
    </row>
    <row r="8" spans="1:9" ht="9.75" customHeight="1" thickBot="1">
      <c r="A8" s="694"/>
      <c r="B8" s="695"/>
      <c r="C8" s="695"/>
      <c r="D8" s="696"/>
      <c r="E8" s="33"/>
    </row>
    <row r="9" spans="1:9" ht="15.75">
      <c r="A9" s="709" t="s">
        <v>59</v>
      </c>
      <c r="B9" s="710"/>
      <c r="C9" s="710"/>
      <c r="D9" s="711"/>
      <c r="E9" s="33"/>
    </row>
    <row r="10" spans="1:9" ht="16.5" thickBot="1">
      <c r="A10" s="709" t="s">
        <v>60</v>
      </c>
      <c r="B10" s="710"/>
      <c r="C10" s="710"/>
      <c r="D10" s="711"/>
      <c r="E10" s="33"/>
    </row>
    <row r="11" spans="1:9" ht="9.75" customHeight="1" thickBot="1">
      <c r="A11" s="694"/>
      <c r="B11" s="695"/>
      <c r="C11" s="695"/>
      <c r="D11" s="696"/>
      <c r="E11" s="33"/>
    </row>
    <row r="12" spans="1:9">
      <c r="A12" s="34"/>
      <c r="B12" s="35"/>
      <c r="C12" s="35"/>
      <c r="D12" s="36"/>
    </row>
    <row r="13" spans="1:9" ht="15">
      <c r="A13" s="37" t="s">
        <v>36</v>
      </c>
      <c r="B13" s="38"/>
      <c r="C13" s="38"/>
      <c r="D13" s="39"/>
      <c r="E13" s="40"/>
      <c r="F13" s="40"/>
      <c r="G13" s="40"/>
      <c r="H13" s="40"/>
      <c r="I13" s="40"/>
    </row>
    <row r="14" spans="1:9">
      <c r="A14" s="41"/>
      <c r="B14" s="42"/>
      <c r="C14" s="42"/>
      <c r="D14" s="43"/>
      <c r="E14" s="44"/>
      <c r="F14" s="44"/>
      <c r="G14" s="44"/>
      <c r="H14" s="44"/>
      <c r="I14" s="44"/>
    </row>
    <row r="15" spans="1:9" ht="15.75">
      <c r="A15" s="45" t="s">
        <v>37</v>
      </c>
      <c r="B15" s="46"/>
      <c r="C15" s="46"/>
      <c r="D15" s="36"/>
    </row>
    <row r="16" spans="1:9" ht="15.75">
      <c r="A16" s="45"/>
      <c r="B16" s="46"/>
      <c r="C16" s="46"/>
      <c r="D16" s="36"/>
    </row>
    <row r="17" spans="1:4" ht="15">
      <c r="A17" s="47" t="s">
        <v>38</v>
      </c>
      <c r="B17" s="48">
        <v>3</v>
      </c>
      <c r="C17" s="49" t="s">
        <v>39</v>
      </c>
      <c r="D17" s="36"/>
    </row>
    <row r="18" spans="1:4" ht="15">
      <c r="A18" s="47" t="s">
        <v>40</v>
      </c>
      <c r="B18" s="48">
        <v>0.6</v>
      </c>
      <c r="C18" s="49" t="s">
        <v>39</v>
      </c>
      <c r="D18" s="36"/>
    </row>
    <row r="19" spans="1:4" ht="15">
      <c r="A19" s="47" t="s">
        <v>41</v>
      </c>
      <c r="B19" s="48">
        <v>0.3</v>
      </c>
      <c r="C19" s="49" t="s">
        <v>39</v>
      </c>
      <c r="D19" s="36"/>
    </row>
    <row r="20" spans="1:4" ht="15">
      <c r="A20" s="47" t="s">
        <v>42</v>
      </c>
      <c r="B20" s="48">
        <v>0.3</v>
      </c>
      <c r="C20" s="49" t="s">
        <v>39</v>
      </c>
      <c r="D20" s="36"/>
    </row>
    <row r="21" spans="1:4" ht="15">
      <c r="A21" s="47" t="s">
        <v>43</v>
      </c>
      <c r="B21" s="48">
        <v>7</v>
      </c>
      <c r="C21" s="49" t="s">
        <v>39</v>
      </c>
      <c r="D21" s="36"/>
    </row>
    <row r="22" spans="1:4" ht="15">
      <c r="A22" s="50" t="s">
        <v>44</v>
      </c>
      <c r="B22" s="51">
        <f>SUM(B17:B21)</f>
        <v>11.2</v>
      </c>
      <c r="C22" s="52" t="s">
        <v>39</v>
      </c>
      <c r="D22" s="36"/>
    </row>
    <row r="23" spans="1:4">
      <c r="A23" s="34"/>
      <c r="B23" s="35"/>
      <c r="C23" s="35"/>
      <c r="D23" s="36"/>
    </row>
    <row r="24" spans="1:4" ht="15.75">
      <c r="A24" s="45" t="s">
        <v>45</v>
      </c>
      <c r="B24" s="35"/>
      <c r="C24" s="35"/>
      <c r="D24" s="36"/>
    </row>
    <row r="25" spans="1:4" ht="15.75">
      <c r="A25" s="45"/>
      <c r="B25" s="35"/>
      <c r="C25" s="35"/>
      <c r="D25" s="36"/>
    </row>
    <row r="26" spans="1:4" ht="15">
      <c r="A26" s="53" t="s">
        <v>46</v>
      </c>
      <c r="B26" s="54">
        <f>B27+B28+B29+B30</f>
        <v>9.65</v>
      </c>
      <c r="C26" s="55" t="s">
        <v>39</v>
      </c>
      <c r="D26" s="36"/>
    </row>
    <row r="27" spans="1:4" ht="15">
      <c r="A27" s="56" t="s">
        <v>47</v>
      </c>
      <c r="B27" s="57">
        <v>4</v>
      </c>
      <c r="C27" s="55" t="s">
        <v>39</v>
      </c>
      <c r="D27" s="36"/>
    </row>
    <row r="28" spans="1:4" ht="15">
      <c r="A28" s="58" t="s">
        <v>48</v>
      </c>
      <c r="B28" s="57">
        <v>3</v>
      </c>
      <c r="C28" s="55" t="s">
        <v>39</v>
      </c>
      <c r="D28" s="36"/>
    </row>
    <row r="29" spans="1:4" ht="15">
      <c r="A29" s="58" t="s">
        <v>49</v>
      </c>
      <c r="B29" s="57">
        <v>0.65</v>
      </c>
      <c r="C29" s="55" t="s">
        <v>39</v>
      </c>
      <c r="D29" s="36"/>
    </row>
    <row r="30" spans="1:4" ht="15">
      <c r="A30" s="58" t="s">
        <v>50</v>
      </c>
      <c r="B30" s="57">
        <v>2</v>
      </c>
      <c r="C30" s="55" t="s">
        <v>39</v>
      </c>
      <c r="D30" s="36"/>
    </row>
    <row r="31" spans="1:4" ht="15">
      <c r="A31" s="50" t="s">
        <v>51</v>
      </c>
      <c r="B31" s="59">
        <f>B26</f>
        <v>9.65</v>
      </c>
      <c r="C31" s="52" t="s">
        <v>39</v>
      </c>
      <c r="D31" s="36"/>
    </row>
    <row r="32" spans="1:4">
      <c r="A32" s="34"/>
      <c r="B32" s="35"/>
      <c r="C32" s="35"/>
      <c r="D32" s="36"/>
    </row>
    <row r="33" spans="1:6">
      <c r="A33" s="34"/>
      <c r="B33" s="35"/>
      <c r="C33" s="35"/>
      <c r="D33" s="36"/>
    </row>
    <row r="34" spans="1:6">
      <c r="A34" s="34"/>
      <c r="B34" s="35"/>
      <c r="C34" s="35"/>
      <c r="D34" s="36"/>
    </row>
    <row r="35" spans="1:6" ht="15.75">
      <c r="A35" s="45" t="s">
        <v>52</v>
      </c>
      <c r="B35" s="35"/>
      <c r="C35" s="35"/>
      <c r="D35" s="36"/>
    </row>
    <row r="36" spans="1:6">
      <c r="A36" s="34"/>
      <c r="B36" s="35"/>
      <c r="C36" s="35"/>
      <c r="D36" s="36"/>
    </row>
    <row r="37" spans="1:6">
      <c r="A37" s="34"/>
      <c r="B37" s="35"/>
      <c r="C37" s="35"/>
      <c r="D37" s="36"/>
    </row>
    <row r="38" spans="1:6">
      <c r="A38" s="34"/>
      <c r="B38" s="35"/>
      <c r="C38" s="35"/>
      <c r="D38" s="36"/>
    </row>
    <row r="39" spans="1:6" ht="31.5" customHeight="1">
      <c r="A39" s="34"/>
      <c r="B39" s="59"/>
      <c r="C39" s="60">
        <f>((((1+B17/100)*(1+B18/100)*(1+(B19+B20)/100)*(1+B21/100))/(1-(B31/100)))-1)*100</f>
        <v>23.449349817376898</v>
      </c>
      <c r="D39" s="61" t="s">
        <v>39</v>
      </c>
    </row>
    <row r="40" spans="1:6">
      <c r="A40" s="34"/>
      <c r="B40" s="35"/>
      <c r="C40" s="35"/>
      <c r="D40" s="36"/>
      <c r="F40" s="32" t="s">
        <v>18</v>
      </c>
    </row>
    <row r="41" spans="1:6">
      <c r="A41" s="34"/>
      <c r="B41" s="35"/>
      <c r="C41" s="35"/>
      <c r="D41" s="36"/>
    </row>
    <row r="42" spans="1:6">
      <c r="A42" s="34"/>
      <c r="B42" s="35"/>
      <c r="C42" s="35"/>
      <c r="D42" s="36"/>
    </row>
    <row r="43" spans="1:6" ht="99.75">
      <c r="A43" s="62" t="s">
        <v>53</v>
      </c>
      <c r="B43" s="35"/>
      <c r="C43" s="35"/>
      <c r="D43" s="36"/>
    </row>
    <row r="44" spans="1:6">
      <c r="A44" s="34"/>
      <c r="B44" s="35"/>
      <c r="C44" s="35"/>
      <c r="D44" s="36"/>
    </row>
    <row r="45" spans="1:6" ht="13.5" thickBot="1">
      <c r="A45" s="63"/>
      <c r="B45" s="64"/>
      <c r="C45" s="64"/>
      <c r="D45" s="65"/>
    </row>
    <row r="46" spans="1:6">
      <c r="A46" s="685" t="s">
        <v>54</v>
      </c>
      <c r="B46" s="686"/>
      <c r="C46" s="686"/>
      <c r="D46" s="687"/>
    </row>
    <row r="47" spans="1:6">
      <c r="A47" s="688" t="s">
        <v>55</v>
      </c>
      <c r="B47" s="689"/>
      <c r="C47" s="689"/>
      <c r="D47" s="690"/>
    </row>
    <row r="48" spans="1:6">
      <c r="A48" s="688" t="s">
        <v>56</v>
      </c>
      <c r="B48" s="689"/>
      <c r="C48" s="689"/>
      <c r="D48" s="690"/>
    </row>
    <row r="49" spans="1:4">
      <c r="A49" s="34"/>
      <c r="B49" s="35"/>
      <c r="C49" s="35"/>
      <c r="D49" s="36"/>
    </row>
    <row r="50" spans="1:4">
      <c r="A50" s="688" t="s">
        <v>57</v>
      </c>
      <c r="B50" s="689"/>
      <c r="C50" s="689"/>
      <c r="D50" s="690"/>
    </row>
    <row r="51" spans="1:4" ht="13.5" thickBot="1">
      <c r="A51" s="691" t="s">
        <v>58</v>
      </c>
      <c r="B51" s="692"/>
      <c r="C51" s="692"/>
      <c r="D51" s="693"/>
    </row>
  </sheetData>
  <protectedRanges>
    <protectedRange sqref="B17:B20" name="Intervalo1"/>
    <protectedRange sqref="B21 B27:B30" name="Intervalo2"/>
  </protectedRanges>
  <mergeCells count="11">
    <mergeCell ref="A11:D11"/>
    <mergeCell ref="A1:D6"/>
    <mergeCell ref="A7:D7"/>
    <mergeCell ref="A8:D8"/>
    <mergeCell ref="A9:D9"/>
    <mergeCell ref="A10:D10"/>
    <mergeCell ref="A46:D46"/>
    <mergeCell ref="A47:D47"/>
    <mergeCell ref="A48:D48"/>
    <mergeCell ref="A50:D50"/>
    <mergeCell ref="A51:D51"/>
  </mergeCells>
  <printOptions horizontalCentered="1"/>
  <pageMargins left="1.1811023622047245" right="0.78740157480314965" top="0.98425196850393704" bottom="0.98425196850393704" header="0.51181102362204722" footer="0.51181102362204722"/>
  <pageSetup paperSize="9" scale="8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0</xdr:col>
                <xdr:colOff>9525</xdr:colOff>
                <xdr:row>35</xdr:row>
                <xdr:rowOff>123825</xdr:rowOff>
              </from>
              <to>
                <xdr:col>1</xdr:col>
                <xdr:colOff>714375</xdr:colOff>
                <xdr:row>40</xdr:row>
                <xdr:rowOff>85725</xdr:rowOff>
              </to>
            </anchor>
          </objectPr>
        </oleObject>
      </mc:Choice>
      <mc:Fallback>
        <oleObject progId="Equation.3" shapeId="3073" r:id="rId4"/>
      </mc:Fallback>
    </mc:AlternateContent>
    <mc:AlternateContent xmlns:mc="http://schemas.openxmlformats.org/markup-compatibility/2006">
      <mc:Choice Requires="x14">
        <oleObject shapeId="3074" r:id="rId6">
          <objectPr defaultSize="0" autoPict="0" r:id="rId7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3"/>
  <sheetViews>
    <sheetView tabSelected="1" view="pageBreakPreview" zoomScale="130" zoomScaleSheetLayoutView="130" workbookViewId="0">
      <selection activeCell="D68" sqref="D68"/>
    </sheetView>
  </sheetViews>
  <sheetFormatPr defaultRowHeight="15"/>
  <cols>
    <col min="1" max="1" width="9.140625" style="1"/>
    <col min="2" max="2" width="9.5703125" style="1" customWidth="1"/>
    <col min="3" max="3" width="8.5703125" style="1" customWidth="1"/>
    <col min="4" max="4" width="37.85546875" style="1" customWidth="1"/>
    <col min="5" max="5" width="5.7109375" style="1" customWidth="1"/>
    <col min="6" max="6" width="9.28515625" style="1" bestFit="1" customWidth="1"/>
    <col min="7" max="7" width="10.5703125" style="4" bestFit="1" customWidth="1"/>
    <col min="8" max="8" width="11.28515625" style="1" bestFit="1" customWidth="1"/>
    <col min="9" max="9" width="11.140625" bestFit="1" customWidth="1"/>
  </cols>
  <sheetData>
    <row r="1" spans="1:17" s="7" customFormat="1" ht="15.75" customHeight="1">
      <c r="A1" s="728"/>
      <c r="B1" s="729"/>
      <c r="C1" s="722" t="s">
        <v>266</v>
      </c>
      <c r="D1" s="723"/>
      <c r="E1" s="723"/>
      <c r="F1" s="723"/>
      <c r="G1" s="719"/>
      <c r="H1" s="719"/>
    </row>
    <row r="2" spans="1:17" s="7" customFormat="1" ht="15.75" customHeight="1">
      <c r="A2" s="730"/>
      <c r="B2" s="731"/>
      <c r="C2" s="724"/>
      <c r="D2" s="725"/>
      <c r="E2" s="725"/>
      <c r="F2" s="725"/>
      <c r="G2" s="720"/>
      <c r="H2" s="720"/>
    </row>
    <row r="3" spans="1:17" s="8" customFormat="1" ht="15.75" customHeight="1">
      <c r="A3" s="730"/>
      <c r="B3" s="731"/>
      <c r="C3" s="724"/>
      <c r="D3" s="725"/>
      <c r="E3" s="725"/>
      <c r="F3" s="725"/>
      <c r="G3" s="720"/>
      <c r="H3" s="720"/>
    </row>
    <row r="4" spans="1:17" s="8" customFormat="1" ht="15.75" customHeight="1">
      <c r="A4" s="732"/>
      <c r="B4" s="733"/>
      <c r="C4" s="726"/>
      <c r="D4" s="727"/>
      <c r="E4" s="727"/>
      <c r="F4" s="727"/>
      <c r="G4" s="721"/>
      <c r="H4" s="721"/>
    </row>
    <row r="5" spans="1:17" s="8" customFormat="1" ht="16.5">
      <c r="A5" s="9" t="s">
        <v>19</v>
      </c>
      <c r="B5" s="9"/>
      <c r="C5" s="9"/>
      <c r="D5" s="29"/>
      <c r="E5" s="30"/>
      <c r="F5" s="30"/>
      <c r="G5" s="31"/>
      <c r="H5" s="10">
        <v>42292</v>
      </c>
    </row>
    <row r="6" spans="1:17" s="8" customFormat="1" ht="16.5">
      <c r="A6" s="715" t="s">
        <v>596</v>
      </c>
      <c r="B6" s="715"/>
      <c r="C6" s="715"/>
      <c r="D6" s="715"/>
      <c r="E6" s="715"/>
      <c r="F6" s="715"/>
      <c r="G6" s="715"/>
      <c r="H6" s="715"/>
    </row>
    <row r="7" spans="1:17" s="8" customFormat="1" ht="16.5">
      <c r="A7" s="716" t="s">
        <v>597</v>
      </c>
      <c r="B7" s="716"/>
      <c r="C7" s="716"/>
      <c r="D7" s="716"/>
      <c r="E7" s="716"/>
      <c r="F7" s="716"/>
      <c r="G7" s="716"/>
      <c r="H7" s="716"/>
    </row>
    <row r="8" spans="1:17" s="28" customFormat="1" ht="81" customHeight="1" thickBot="1">
      <c r="A8" s="717" t="s">
        <v>598</v>
      </c>
      <c r="B8" s="717"/>
      <c r="C8" s="717"/>
      <c r="D8" s="717"/>
      <c r="E8" s="717"/>
      <c r="F8" s="717"/>
      <c r="G8" s="717"/>
      <c r="H8" s="717"/>
      <c r="I8" s="27"/>
    </row>
    <row r="9" spans="1:17" ht="26.25" thickBot="1">
      <c r="A9" s="267" t="s">
        <v>0</v>
      </c>
      <c r="B9" s="227" t="s">
        <v>1</v>
      </c>
      <c r="C9" s="228" t="s">
        <v>2</v>
      </c>
      <c r="D9" s="228" t="s">
        <v>3</v>
      </c>
      <c r="E9" s="228" t="s">
        <v>14</v>
      </c>
      <c r="F9" s="228" t="s">
        <v>15</v>
      </c>
      <c r="G9" s="228" t="s">
        <v>76</v>
      </c>
      <c r="H9" s="268" t="s">
        <v>16</v>
      </c>
      <c r="I9">
        <v>1.2344999999999999</v>
      </c>
      <c r="J9">
        <v>1.2764</v>
      </c>
    </row>
    <row r="10" spans="1:17">
      <c r="A10" s="229" t="s">
        <v>682</v>
      </c>
      <c r="B10" s="229"/>
      <c r="C10" s="229"/>
      <c r="D10" s="677" t="s">
        <v>4</v>
      </c>
      <c r="E10" s="230"/>
      <c r="F10" s="230"/>
      <c r="G10" s="231"/>
      <c r="H10" s="269"/>
    </row>
    <row r="11" spans="1:17" s="2" customFormat="1" ht="14.25">
      <c r="A11" s="232" t="s">
        <v>111</v>
      </c>
      <c r="B11" s="232">
        <v>102</v>
      </c>
      <c r="C11" s="233" t="s">
        <v>33</v>
      </c>
      <c r="D11" s="234" t="s">
        <v>599</v>
      </c>
      <c r="E11" s="235"/>
      <c r="F11" s="236"/>
      <c r="G11" s="237"/>
      <c r="H11" s="247"/>
      <c r="I11" s="3"/>
      <c r="J11" s="3"/>
      <c r="K11" s="3"/>
      <c r="L11" s="3"/>
      <c r="M11" s="3"/>
      <c r="N11" s="3"/>
      <c r="O11" s="3"/>
      <c r="P11" s="3"/>
      <c r="Q11" s="5"/>
    </row>
    <row r="12" spans="1:17" ht="28.5" customHeight="1">
      <c r="A12" s="232" t="s">
        <v>6</v>
      </c>
      <c r="B12" s="232">
        <v>10201</v>
      </c>
      <c r="C12" s="233" t="s">
        <v>33</v>
      </c>
      <c r="D12" s="234" t="s">
        <v>600</v>
      </c>
      <c r="E12" s="238" t="s">
        <v>5</v>
      </c>
      <c r="F12" s="236">
        <v>154.32</v>
      </c>
      <c r="G12" s="239">
        <v>18.02</v>
      </c>
      <c r="H12" s="247">
        <f>F12*G12</f>
        <v>2780.8463999999999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28.5" customHeight="1">
      <c r="A13" s="232" t="s">
        <v>24</v>
      </c>
      <c r="B13" s="232">
        <v>10224</v>
      </c>
      <c r="C13" s="233" t="s">
        <v>33</v>
      </c>
      <c r="D13" s="676" t="s">
        <v>601</v>
      </c>
      <c r="E13" s="238" t="s">
        <v>5</v>
      </c>
      <c r="F13" s="236">
        <v>15.6</v>
      </c>
      <c r="G13" s="239">
        <v>12.2</v>
      </c>
      <c r="H13" s="247">
        <f t="shared" ref="H13" si="0">F13*G13</f>
        <v>190.32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26.25" customHeight="1">
      <c r="A14" s="232" t="s">
        <v>24</v>
      </c>
      <c r="B14" s="232">
        <v>10206</v>
      </c>
      <c r="C14" s="233" t="s">
        <v>33</v>
      </c>
      <c r="D14" s="676" t="s">
        <v>604</v>
      </c>
      <c r="E14" s="238" t="s">
        <v>5</v>
      </c>
      <c r="F14" s="236">
        <v>15.6</v>
      </c>
      <c r="G14" s="239">
        <v>12.2</v>
      </c>
      <c r="H14" s="247">
        <f t="shared" ref="H14:H57" si="1">F14*G14</f>
        <v>190.32</v>
      </c>
    </row>
    <row r="15" spans="1:17" ht="40.5" customHeight="1">
      <c r="A15" s="232" t="s">
        <v>77</v>
      </c>
      <c r="B15" s="245">
        <v>10246</v>
      </c>
      <c r="C15" s="233" t="s">
        <v>33</v>
      </c>
      <c r="D15" s="246" t="s">
        <v>602</v>
      </c>
      <c r="E15" s="238" t="s">
        <v>5</v>
      </c>
      <c r="F15" s="236">
        <v>1154.77</v>
      </c>
      <c r="G15" s="239">
        <v>2.6</v>
      </c>
      <c r="H15" s="247">
        <f t="shared" si="1"/>
        <v>3002.402</v>
      </c>
    </row>
    <row r="16" spans="1:17" ht="28.5" customHeight="1">
      <c r="A16" s="680" t="s">
        <v>75</v>
      </c>
      <c r="B16" s="245">
        <v>10319</v>
      </c>
      <c r="C16" s="233" t="s">
        <v>33</v>
      </c>
      <c r="D16" s="246" t="s">
        <v>605</v>
      </c>
      <c r="E16" s="238" t="s">
        <v>5</v>
      </c>
      <c r="F16" s="236">
        <v>24.73</v>
      </c>
      <c r="G16" s="239">
        <v>13.03</v>
      </c>
      <c r="H16" s="247">
        <f t="shared" ref="H16" si="2">F16*G16</f>
        <v>322.2319</v>
      </c>
    </row>
    <row r="17" spans="1:8" ht="28.5" customHeight="1">
      <c r="A17" s="718" t="s">
        <v>8</v>
      </c>
      <c r="B17" s="718"/>
      <c r="C17" s="718"/>
      <c r="D17" s="718"/>
      <c r="E17" s="718"/>
      <c r="F17" s="718"/>
      <c r="G17" s="718"/>
      <c r="H17" s="272">
        <f>SUM(H12:H16)</f>
        <v>6486.1202999999996</v>
      </c>
    </row>
    <row r="18" spans="1:8" ht="19.5" customHeight="1">
      <c r="A18" s="499" t="s">
        <v>607</v>
      </c>
      <c r="B18" s="245">
        <v>104</v>
      </c>
      <c r="C18" s="233" t="s">
        <v>33</v>
      </c>
      <c r="D18" s="682" t="s">
        <v>606</v>
      </c>
      <c r="E18" s="238"/>
      <c r="F18" s="681"/>
      <c r="G18" s="239"/>
      <c r="H18" s="247"/>
    </row>
    <row r="19" spans="1:8" ht="18" customHeight="1">
      <c r="A19" s="680" t="s">
        <v>78</v>
      </c>
      <c r="B19" s="245">
        <v>10402</v>
      </c>
      <c r="C19" s="233" t="s">
        <v>33</v>
      </c>
      <c r="D19" s="246" t="s">
        <v>608</v>
      </c>
      <c r="E19" s="238" t="s">
        <v>5</v>
      </c>
      <c r="F19" s="236">
        <v>532.02</v>
      </c>
      <c r="G19" s="239">
        <v>3.05</v>
      </c>
      <c r="H19" s="247">
        <f t="shared" ref="H19" si="3">F19*G19</f>
        <v>1622.6609999999998</v>
      </c>
    </row>
    <row r="20" spans="1:8" ht="18" customHeight="1">
      <c r="A20" s="718" t="s">
        <v>8</v>
      </c>
      <c r="B20" s="718"/>
      <c r="C20" s="718"/>
      <c r="D20" s="718"/>
      <c r="E20" s="718"/>
      <c r="F20" s="718"/>
      <c r="G20" s="718"/>
      <c r="H20" s="272">
        <f>SUM(H19)</f>
        <v>1622.6609999999998</v>
      </c>
    </row>
    <row r="21" spans="1:8" ht="23.25" customHeight="1">
      <c r="A21" s="683" t="s">
        <v>609</v>
      </c>
      <c r="B21" s="362">
        <v>3</v>
      </c>
      <c r="C21" s="233" t="s">
        <v>33</v>
      </c>
      <c r="D21" s="679" t="s">
        <v>603</v>
      </c>
      <c r="E21" s="363"/>
      <c r="F21" s="364"/>
      <c r="G21" s="365"/>
      <c r="H21" s="247"/>
    </row>
    <row r="22" spans="1:8">
      <c r="A22" s="361" t="s">
        <v>645</v>
      </c>
      <c r="B22" s="362">
        <v>301</v>
      </c>
      <c r="C22" s="233" t="s">
        <v>33</v>
      </c>
      <c r="D22" s="678" t="s">
        <v>610</v>
      </c>
      <c r="E22" s="363"/>
      <c r="F22" s="364"/>
      <c r="G22" s="365"/>
      <c r="H22" s="247"/>
    </row>
    <row r="23" spans="1:8">
      <c r="A23" s="361" t="s">
        <v>644</v>
      </c>
      <c r="B23" s="317">
        <v>10208</v>
      </c>
      <c r="C23" s="395" t="s">
        <v>33</v>
      </c>
      <c r="D23" s="396" t="s">
        <v>368</v>
      </c>
      <c r="E23" s="397" t="s">
        <v>5</v>
      </c>
      <c r="F23" s="364">
        <v>4</v>
      </c>
      <c r="G23" s="398">
        <v>6.41</v>
      </c>
      <c r="H23" s="247">
        <f t="shared" si="1"/>
        <v>25.64</v>
      </c>
    </row>
    <row r="24" spans="1:8" ht="27.75" customHeight="1">
      <c r="A24" s="361" t="s">
        <v>646</v>
      </c>
      <c r="B24" s="241">
        <v>30101</v>
      </c>
      <c r="C24" s="395" t="s">
        <v>33</v>
      </c>
      <c r="D24" s="242" t="s">
        <v>611</v>
      </c>
      <c r="E24" s="397" t="s">
        <v>7</v>
      </c>
      <c r="F24" s="410">
        <v>10.29</v>
      </c>
      <c r="G24" s="411">
        <v>39.659999999999997</v>
      </c>
      <c r="H24" s="247">
        <f t="shared" si="1"/>
        <v>408.10139999999996</v>
      </c>
    </row>
    <row r="25" spans="1:8" ht="26.25" customHeight="1">
      <c r="A25" s="361" t="s">
        <v>647</v>
      </c>
      <c r="B25" s="241">
        <v>30119</v>
      </c>
      <c r="C25" s="395" t="s">
        <v>33</v>
      </c>
      <c r="D25" s="242" t="s">
        <v>612</v>
      </c>
      <c r="E25" s="397" t="s">
        <v>5</v>
      </c>
      <c r="F25" s="410">
        <v>34.32</v>
      </c>
      <c r="G25" s="411">
        <v>6.82</v>
      </c>
      <c r="H25" s="247">
        <f t="shared" si="1"/>
        <v>234.06240000000003</v>
      </c>
    </row>
    <row r="26" spans="1:8">
      <c r="A26" s="361" t="s">
        <v>648</v>
      </c>
      <c r="B26" s="241">
        <v>302</v>
      </c>
      <c r="C26" s="395" t="s">
        <v>33</v>
      </c>
      <c r="D26" s="251" t="s">
        <v>613</v>
      </c>
      <c r="E26" s="397"/>
      <c r="F26" s="410"/>
      <c r="G26" s="411"/>
      <c r="H26" s="247"/>
    </row>
    <row r="27" spans="1:8" ht="26.25" customHeight="1">
      <c r="A27" s="361" t="s">
        <v>649</v>
      </c>
      <c r="B27" s="262">
        <v>30201</v>
      </c>
      <c r="C27" s="395" t="s">
        <v>33</v>
      </c>
      <c r="D27" s="263" t="s">
        <v>614</v>
      </c>
      <c r="E27" s="397" t="s">
        <v>7</v>
      </c>
      <c r="F27" s="633">
        <v>6.86</v>
      </c>
      <c r="G27" s="254">
        <v>42.71</v>
      </c>
      <c r="H27" s="247">
        <f t="shared" si="1"/>
        <v>292.99060000000003</v>
      </c>
    </row>
    <row r="28" spans="1:8" ht="30" customHeight="1">
      <c r="A28" s="361" t="s">
        <v>650</v>
      </c>
      <c r="B28" s="262">
        <v>506</v>
      </c>
      <c r="C28" s="395" t="s">
        <v>33</v>
      </c>
      <c r="D28" s="684" t="s">
        <v>615</v>
      </c>
      <c r="E28" s="235"/>
      <c r="F28" s="633"/>
      <c r="G28" s="254"/>
      <c r="H28" s="247"/>
    </row>
    <row r="29" spans="1:8" ht="38.25" customHeight="1">
      <c r="A29" s="361" t="s">
        <v>651</v>
      </c>
      <c r="B29" s="262">
        <v>50606</v>
      </c>
      <c r="C29" s="395" t="s">
        <v>33</v>
      </c>
      <c r="D29" s="263" t="s">
        <v>616</v>
      </c>
      <c r="E29" s="235" t="s">
        <v>5</v>
      </c>
      <c r="F29" s="633">
        <v>10</v>
      </c>
      <c r="G29" s="254">
        <v>45.34</v>
      </c>
      <c r="H29" s="247">
        <f t="shared" si="1"/>
        <v>453.40000000000003</v>
      </c>
    </row>
    <row r="30" spans="1:8" ht="20.25" customHeight="1">
      <c r="A30" s="361" t="s">
        <v>652</v>
      </c>
      <c r="B30" s="262">
        <v>7</v>
      </c>
      <c r="C30" s="395" t="s">
        <v>33</v>
      </c>
      <c r="D30" s="684" t="s">
        <v>617</v>
      </c>
      <c r="E30" s="235"/>
      <c r="F30" s="633"/>
      <c r="G30" s="254"/>
      <c r="H30" s="247"/>
    </row>
    <row r="31" spans="1:8" ht="25.5">
      <c r="A31" s="361" t="s">
        <v>653</v>
      </c>
      <c r="B31" s="663">
        <v>71105</v>
      </c>
      <c r="C31" s="395" t="s">
        <v>33</v>
      </c>
      <c r="D31" s="656" t="s">
        <v>618</v>
      </c>
      <c r="E31" s="235" t="s">
        <v>5</v>
      </c>
      <c r="F31" s="664">
        <v>8.68</v>
      </c>
      <c r="G31" s="665">
        <v>229.16</v>
      </c>
      <c r="H31" s="247">
        <f t="shared" si="1"/>
        <v>1989.1088</v>
      </c>
    </row>
    <row r="32" spans="1:8">
      <c r="A32" s="718" t="s">
        <v>8</v>
      </c>
      <c r="B32" s="718"/>
      <c r="C32" s="718"/>
      <c r="D32" s="718"/>
      <c r="E32" s="718"/>
      <c r="F32" s="718"/>
      <c r="G32" s="718"/>
      <c r="H32" s="272">
        <f>SUM(H22:H31)</f>
        <v>3403.3032000000003</v>
      </c>
    </row>
    <row r="33" spans="1:9">
      <c r="A33" s="233" t="s">
        <v>654</v>
      </c>
      <c r="B33" s="266">
        <v>802</v>
      </c>
      <c r="C33" s="395" t="s">
        <v>33</v>
      </c>
      <c r="D33" s="249" t="s">
        <v>619</v>
      </c>
      <c r="E33" s="266"/>
      <c r="F33" s="266"/>
      <c r="G33" s="266"/>
      <c r="H33" s="247">
        <f t="shared" si="1"/>
        <v>0</v>
      </c>
    </row>
    <row r="34" spans="1:9" ht="53.25" customHeight="1">
      <c r="A34" s="232" t="s">
        <v>655</v>
      </c>
      <c r="B34" s="238">
        <v>80201</v>
      </c>
      <c r="C34" s="395" t="s">
        <v>33</v>
      </c>
      <c r="D34" s="246" t="s">
        <v>620</v>
      </c>
      <c r="E34" s="238" t="s">
        <v>5</v>
      </c>
      <c r="F34" s="240">
        <v>0.9</v>
      </c>
      <c r="G34" s="237">
        <v>420.25</v>
      </c>
      <c r="H34" s="247">
        <f t="shared" si="1"/>
        <v>378.22500000000002</v>
      </c>
    </row>
    <row r="35" spans="1:9">
      <c r="A35" s="718" t="s">
        <v>8</v>
      </c>
      <c r="B35" s="718"/>
      <c r="C35" s="718"/>
      <c r="D35" s="718"/>
      <c r="E35" s="718"/>
      <c r="F35" s="718"/>
      <c r="G35" s="718"/>
      <c r="H35" s="272">
        <f>H34</f>
        <v>378.22500000000002</v>
      </c>
    </row>
    <row r="36" spans="1:9">
      <c r="A36" s="271" t="s">
        <v>656</v>
      </c>
      <c r="B36" s="271">
        <v>902</v>
      </c>
      <c r="C36" s="271"/>
      <c r="D36" s="251" t="s">
        <v>621</v>
      </c>
      <c r="E36" s="235"/>
      <c r="F36" s="234"/>
      <c r="G36" s="252"/>
      <c r="H36" s="247"/>
    </row>
    <row r="37" spans="1:9" ht="45" customHeight="1">
      <c r="A37" s="232" t="s">
        <v>657</v>
      </c>
      <c r="B37" s="232">
        <v>90212</v>
      </c>
      <c r="C37" s="395" t="s">
        <v>33</v>
      </c>
      <c r="D37" s="234" t="s">
        <v>622</v>
      </c>
      <c r="E37" s="238" t="s">
        <v>7</v>
      </c>
      <c r="F37" s="240">
        <v>20</v>
      </c>
      <c r="G37" s="253">
        <v>88.86</v>
      </c>
      <c r="H37" s="247">
        <f t="shared" si="1"/>
        <v>1777.2</v>
      </c>
    </row>
    <row r="38" spans="1:9">
      <c r="A38" s="712" t="s">
        <v>8</v>
      </c>
      <c r="B38" s="713"/>
      <c r="C38" s="713"/>
      <c r="D38" s="713"/>
      <c r="E38" s="713"/>
      <c r="F38" s="713"/>
      <c r="G38" s="714"/>
      <c r="H38" s="272">
        <f>H37</f>
        <v>1777.2</v>
      </c>
    </row>
    <row r="39" spans="1:9">
      <c r="A39" s="271" t="s">
        <v>658</v>
      </c>
      <c r="B39" s="271">
        <v>11</v>
      </c>
      <c r="C39" s="395" t="s">
        <v>33</v>
      </c>
      <c r="D39" s="260" t="s">
        <v>67</v>
      </c>
      <c r="E39" s="235"/>
      <c r="F39" s="234"/>
      <c r="G39" s="252"/>
      <c r="H39" s="247"/>
    </row>
    <row r="40" spans="1:9">
      <c r="A40" s="233" t="s">
        <v>659</v>
      </c>
      <c r="B40" s="233">
        <v>1102</v>
      </c>
      <c r="C40" s="395" t="s">
        <v>33</v>
      </c>
      <c r="D40" s="251" t="s">
        <v>623</v>
      </c>
      <c r="E40" s="235"/>
      <c r="F40" s="234"/>
      <c r="G40" s="252"/>
      <c r="H40" s="247"/>
    </row>
    <row r="41" spans="1:9" ht="24" customHeight="1">
      <c r="A41" s="232" t="s">
        <v>660</v>
      </c>
      <c r="B41" s="241">
        <v>110210</v>
      </c>
      <c r="C41" s="395" t="s">
        <v>33</v>
      </c>
      <c r="D41" s="234" t="s">
        <v>624</v>
      </c>
      <c r="E41" s="238" t="s">
        <v>5</v>
      </c>
      <c r="F41" s="240">
        <v>39.03</v>
      </c>
      <c r="G41" s="254">
        <v>52.95</v>
      </c>
      <c r="H41" s="247">
        <f t="shared" si="1"/>
        <v>2066.6385</v>
      </c>
    </row>
    <row r="42" spans="1:9">
      <c r="A42" s="718" t="s">
        <v>8</v>
      </c>
      <c r="B42" s="718"/>
      <c r="C42" s="718"/>
      <c r="D42" s="718"/>
      <c r="E42" s="718"/>
      <c r="F42" s="718"/>
      <c r="G42" s="718"/>
      <c r="H42" s="272">
        <f>H41</f>
        <v>2066.6385</v>
      </c>
    </row>
    <row r="43" spans="1:9" ht="38.25">
      <c r="A43" s="271" t="s">
        <v>661</v>
      </c>
      <c r="B43" s="271">
        <v>1103</v>
      </c>
      <c r="C43" s="395" t="s">
        <v>33</v>
      </c>
      <c r="D43" s="251" t="s">
        <v>625</v>
      </c>
      <c r="E43" s="265"/>
      <c r="F43" s="236"/>
      <c r="G43" s="254"/>
      <c r="H43" s="247"/>
    </row>
    <row r="44" spans="1:9" ht="39" customHeight="1">
      <c r="A44" s="232" t="s">
        <v>662</v>
      </c>
      <c r="B44" s="241">
        <v>110302</v>
      </c>
      <c r="C44" s="395" t="s">
        <v>33</v>
      </c>
      <c r="D44" s="234" t="s">
        <v>626</v>
      </c>
      <c r="E44" s="238" t="s">
        <v>5</v>
      </c>
      <c r="F44" s="236">
        <v>15</v>
      </c>
      <c r="G44" s="254">
        <v>46.77</v>
      </c>
      <c r="H44" s="247">
        <f t="shared" si="1"/>
        <v>701.55000000000007</v>
      </c>
    </row>
    <row r="45" spans="1:9">
      <c r="A45" s="712" t="s">
        <v>8</v>
      </c>
      <c r="B45" s="713"/>
      <c r="C45" s="713"/>
      <c r="D45" s="713"/>
      <c r="E45" s="713"/>
      <c r="F45" s="713"/>
      <c r="G45" s="714"/>
      <c r="H45" s="272">
        <f>H44</f>
        <v>701.55000000000007</v>
      </c>
      <c r="I45" s="670">
        <f>H42+H45</f>
        <v>2768.1885000000002</v>
      </c>
    </row>
    <row r="46" spans="1:9">
      <c r="A46" s="233" t="s">
        <v>663</v>
      </c>
      <c r="B46" s="232">
        <v>13</v>
      </c>
      <c r="C46" s="395" t="s">
        <v>33</v>
      </c>
      <c r="D46" s="255" t="s">
        <v>70</v>
      </c>
      <c r="E46" s="255"/>
      <c r="F46" s="255"/>
      <c r="G46" s="256"/>
      <c r="H46" s="247"/>
    </row>
    <row r="47" spans="1:9" ht="51.75">
      <c r="A47" s="232" t="s">
        <v>664</v>
      </c>
      <c r="B47" s="250">
        <v>130103</v>
      </c>
      <c r="C47" s="395" t="s">
        <v>33</v>
      </c>
      <c r="D47" s="244" t="s">
        <v>627</v>
      </c>
      <c r="E47" s="238" t="s">
        <v>5</v>
      </c>
      <c r="F47" s="240">
        <v>120</v>
      </c>
      <c r="G47" s="239">
        <v>17.32</v>
      </c>
      <c r="H47" s="247">
        <f t="shared" ref="H47:H48" si="4">F47*G47</f>
        <v>2078.4</v>
      </c>
    </row>
    <row r="48" spans="1:9" ht="28.5" customHeight="1">
      <c r="A48" s="232" t="s">
        <v>665</v>
      </c>
      <c r="B48" s="250">
        <v>130112</v>
      </c>
      <c r="C48" s="395" t="s">
        <v>33</v>
      </c>
      <c r="D48" s="244" t="s">
        <v>628</v>
      </c>
      <c r="E48" s="238" t="s">
        <v>5</v>
      </c>
      <c r="F48" s="240">
        <v>120</v>
      </c>
      <c r="G48" s="239">
        <v>34.479999999999997</v>
      </c>
      <c r="H48" s="247">
        <f t="shared" si="4"/>
        <v>4137.5999999999995</v>
      </c>
    </row>
    <row r="49" spans="1:16" s="2" customFormat="1" ht="51" customHeight="1">
      <c r="A49" s="232" t="s">
        <v>666</v>
      </c>
      <c r="B49" s="250">
        <v>130219</v>
      </c>
      <c r="C49" s="395" t="s">
        <v>33</v>
      </c>
      <c r="D49" s="676" t="s">
        <v>629</v>
      </c>
      <c r="E49" s="238" t="s">
        <v>5</v>
      </c>
      <c r="F49" s="240">
        <v>120</v>
      </c>
      <c r="G49" s="239">
        <v>62.4</v>
      </c>
      <c r="H49" s="247">
        <f t="shared" si="1"/>
        <v>7488</v>
      </c>
      <c r="I49" s="3"/>
      <c r="J49" s="3"/>
      <c r="K49" s="3"/>
      <c r="L49" s="3"/>
      <c r="M49" s="3"/>
      <c r="N49" s="3"/>
      <c r="O49" s="3"/>
      <c r="P49" s="3"/>
    </row>
    <row r="50" spans="1:16">
      <c r="A50" s="712" t="s">
        <v>8</v>
      </c>
      <c r="B50" s="713"/>
      <c r="C50" s="713"/>
      <c r="D50" s="713"/>
      <c r="E50" s="713"/>
      <c r="F50" s="713"/>
      <c r="G50" s="714"/>
      <c r="H50" s="272">
        <f>SUM(H47:H49)</f>
        <v>13704</v>
      </c>
    </row>
    <row r="51" spans="1:16">
      <c r="A51" s="233" t="s">
        <v>667</v>
      </c>
      <c r="B51" s="232">
        <v>1407</v>
      </c>
      <c r="C51" s="395" t="s">
        <v>33</v>
      </c>
      <c r="D51" s="255" t="s">
        <v>630</v>
      </c>
      <c r="E51" s="238"/>
      <c r="F51" s="238"/>
      <c r="G51" s="239"/>
      <c r="H51" s="247"/>
    </row>
    <row r="52" spans="1:16" ht="30" customHeight="1">
      <c r="A52" s="233" t="s">
        <v>668</v>
      </c>
      <c r="B52" s="250">
        <v>140701</v>
      </c>
      <c r="C52" s="395" t="s">
        <v>33</v>
      </c>
      <c r="D52" s="257" t="s">
        <v>632</v>
      </c>
      <c r="E52" s="245" t="s">
        <v>631</v>
      </c>
      <c r="F52" s="240">
        <v>3</v>
      </c>
      <c r="G52" s="239">
        <v>72.05</v>
      </c>
      <c r="H52" s="247">
        <f t="shared" si="1"/>
        <v>216.14999999999998</v>
      </c>
    </row>
    <row r="53" spans="1:16" ht="27.75" customHeight="1">
      <c r="A53" s="233" t="s">
        <v>669</v>
      </c>
      <c r="B53" s="250">
        <v>141410</v>
      </c>
      <c r="C53" s="395" t="s">
        <v>33</v>
      </c>
      <c r="D53" s="257" t="s">
        <v>633</v>
      </c>
      <c r="E53" s="245" t="s">
        <v>17</v>
      </c>
      <c r="F53" s="240">
        <v>3</v>
      </c>
      <c r="G53" s="239">
        <v>17.3</v>
      </c>
      <c r="H53" s="247">
        <f t="shared" si="1"/>
        <v>51.900000000000006</v>
      </c>
    </row>
    <row r="54" spans="1:16" ht="40.5" customHeight="1">
      <c r="A54" s="233" t="s">
        <v>670</v>
      </c>
      <c r="B54" s="250">
        <v>170351</v>
      </c>
      <c r="C54" s="395" t="s">
        <v>33</v>
      </c>
      <c r="D54" s="244" t="s">
        <v>634</v>
      </c>
      <c r="E54" s="245" t="s">
        <v>64</v>
      </c>
      <c r="F54" s="240">
        <v>3</v>
      </c>
      <c r="G54" s="239">
        <v>217.69</v>
      </c>
      <c r="H54" s="247">
        <f t="shared" si="1"/>
        <v>653.06999999999994</v>
      </c>
    </row>
    <row r="55" spans="1:16">
      <c r="A55" s="712" t="s">
        <v>8</v>
      </c>
      <c r="B55" s="713"/>
      <c r="C55" s="713"/>
      <c r="D55" s="713"/>
      <c r="E55" s="713"/>
      <c r="F55" s="713"/>
      <c r="G55" s="714"/>
      <c r="H55" s="272">
        <f>SUM(H52:H54)</f>
        <v>921.11999999999989</v>
      </c>
    </row>
    <row r="56" spans="1:16">
      <c r="A56" s="233" t="s">
        <v>671</v>
      </c>
      <c r="B56" s="232">
        <v>18</v>
      </c>
      <c r="C56" s="395" t="s">
        <v>33</v>
      </c>
      <c r="D56" s="249" t="s">
        <v>595</v>
      </c>
      <c r="E56" s="238"/>
      <c r="F56" s="238"/>
      <c r="G56" s="239"/>
      <c r="H56" s="247"/>
    </row>
    <row r="57" spans="1:16" ht="32.25" customHeight="1">
      <c r="A57" s="232" t="s">
        <v>672</v>
      </c>
      <c r="B57" s="250">
        <v>151402</v>
      </c>
      <c r="C57" s="395" t="s">
        <v>33</v>
      </c>
      <c r="D57" s="676" t="s">
        <v>635</v>
      </c>
      <c r="E57" s="238" t="s">
        <v>17</v>
      </c>
      <c r="F57" s="240">
        <v>49.72</v>
      </c>
      <c r="G57" s="239">
        <v>4.42</v>
      </c>
      <c r="H57" s="247">
        <f t="shared" si="1"/>
        <v>219.76239999999999</v>
      </c>
      <c r="I57" s="1"/>
    </row>
    <row r="58" spans="1:16">
      <c r="A58" s="712" t="s">
        <v>8</v>
      </c>
      <c r="B58" s="713"/>
      <c r="C58" s="713"/>
      <c r="D58" s="713"/>
      <c r="E58" s="713"/>
      <c r="F58" s="713"/>
      <c r="G58" s="714"/>
      <c r="H58" s="248">
        <f>H57</f>
        <v>219.76239999999999</v>
      </c>
    </row>
    <row r="59" spans="1:16">
      <c r="A59" s="233" t="s">
        <v>673</v>
      </c>
      <c r="B59" s="233">
        <v>19</v>
      </c>
      <c r="C59" s="395" t="s">
        <v>33</v>
      </c>
      <c r="D59" s="255" t="s">
        <v>11</v>
      </c>
      <c r="E59" s="255"/>
      <c r="F59" s="255"/>
      <c r="G59" s="256"/>
      <c r="H59" s="270"/>
    </row>
    <row r="60" spans="1:16" ht="49.5" customHeight="1">
      <c r="A60" s="241" t="s">
        <v>674</v>
      </c>
      <c r="B60" s="241">
        <v>190104</v>
      </c>
      <c r="C60" s="395" t="s">
        <v>33</v>
      </c>
      <c r="D60" s="242" t="s">
        <v>636</v>
      </c>
      <c r="E60" s="243" t="s">
        <v>5</v>
      </c>
      <c r="F60" s="242">
        <v>691.65</v>
      </c>
      <c r="G60" s="320">
        <v>19.02</v>
      </c>
      <c r="H60" s="247">
        <f t="shared" ref="H60:H63" si="5">F60*G60</f>
        <v>13155.182999999999</v>
      </c>
    </row>
    <row r="61" spans="1:16" ht="54" customHeight="1">
      <c r="A61" s="241" t="s">
        <v>675</v>
      </c>
      <c r="B61" s="250">
        <v>190106</v>
      </c>
      <c r="C61" s="395" t="s">
        <v>33</v>
      </c>
      <c r="D61" s="676" t="s">
        <v>637</v>
      </c>
      <c r="E61" s="238" t="s">
        <v>5</v>
      </c>
      <c r="F61" s="240">
        <v>463.12</v>
      </c>
      <c r="G61" s="239">
        <v>19.66</v>
      </c>
      <c r="H61" s="247">
        <f t="shared" si="5"/>
        <v>9104.9392000000007</v>
      </c>
    </row>
    <row r="62" spans="1:16" ht="21" customHeight="1">
      <c r="A62" s="241" t="s">
        <v>676</v>
      </c>
      <c r="B62" s="250">
        <v>1904</v>
      </c>
      <c r="C62" s="395" t="s">
        <v>33</v>
      </c>
      <c r="D62" s="264" t="s">
        <v>638</v>
      </c>
      <c r="E62" s="238"/>
      <c r="F62" s="240"/>
      <c r="G62" s="239"/>
      <c r="H62" s="247"/>
    </row>
    <row r="63" spans="1:16" ht="40.5" customHeight="1">
      <c r="A63" s="241" t="s">
        <v>677</v>
      </c>
      <c r="B63" s="250">
        <v>190417</v>
      </c>
      <c r="C63" s="395" t="s">
        <v>33</v>
      </c>
      <c r="D63" s="676" t="s">
        <v>639</v>
      </c>
      <c r="E63" s="238" t="s">
        <v>5</v>
      </c>
      <c r="F63" s="240">
        <v>130</v>
      </c>
      <c r="G63" s="239">
        <v>16.64</v>
      </c>
      <c r="H63" s="247">
        <f t="shared" si="5"/>
        <v>2163.2000000000003</v>
      </c>
    </row>
    <row r="64" spans="1:16">
      <c r="A64" s="712" t="s">
        <v>8</v>
      </c>
      <c r="B64" s="713"/>
      <c r="C64" s="713"/>
      <c r="D64" s="713"/>
      <c r="E64" s="713"/>
      <c r="F64" s="713"/>
      <c r="G64" s="714"/>
      <c r="H64" s="248">
        <f>SUM(H60:H63)</f>
        <v>24423.322199999999</v>
      </c>
    </row>
    <row r="65" spans="1:8">
      <c r="A65" s="233" t="s">
        <v>678</v>
      </c>
      <c r="B65" s="232">
        <v>2002</v>
      </c>
      <c r="C65" s="395" t="s">
        <v>33</v>
      </c>
      <c r="D65" s="249" t="s">
        <v>640</v>
      </c>
      <c r="E65" s="238"/>
      <c r="F65" s="238"/>
      <c r="G65" s="239"/>
      <c r="H65" s="247"/>
    </row>
    <row r="66" spans="1:8" ht="68.25" customHeight="1">
      <c r="A66" s="232" t="s">
        <v>679</v>
      </c>
      <c r="B66" s="250">
        <v>200209</v>
      </c>
      <c r="C66" s="233" t="s">
        <v>33</v>
      </c>
      <c r="D66" s="676" t="s">
        <v>641</v>
      </c>
      <c r="E66" s="238" t="s">
        <v>5</v>
      </c>
      <c r="F66" s="259">
        <v>34.32</v>
      </c>
      <c r="G66" s="239">
        <v>92.88</v>
      </c>
      <c r="H66" s="247">
        <f t="shared" ref="H66" si="6">F66*G66</f>
        <v>3187.6415999999999</v>
      </c>
    </row>
    <row r="67" spans="1:8">
      <c r="A67" s="712" t="s">
        <v>8</v>
      </c>
      <c r="B67" s="713"/>
      <c r="C67" s="713"/>
      <c r="D67" s="713"/>
      <c r="E67" s="713"/>
      <c r="F67" s="713"/>
      <c r="G67" s="714"/>
      <c r="H67" s="248">
        <f>H66</f>
        <v>3187.6415999999999</v>
      </c>
    </row>
    <row r="68" spans="1:8" ht="25.5">
      <c r="A68" s="261" t="s">
        <v>680</v>
      </c>
      <c r="B68" s="261">
        <v>2001</v>
      </c>
      <c r="C68" s="266"/>
      <c r="D68" s="264" t="s">
        <v>642</v>
      </c>
      <c r="E68" s="266"/>
      <c r="F68" s="266"/>
      <c r="G68" s="266"/>
      <c r="H68" s="248"/>
    </row>
    <row r="69" spans="1:8">
      <c r="A69" s="238" t="s">
        <v>681</v>
      </c>
      <c r="B69" s="250">
        <v>200401</v>
      </c>
      <c r="C69" s="233" t="s">
        <v>33</v>
      </c>
      <c r="D69" s="258" t="s">
        <v>643</v>
      </c>
      <c r="E69" s="238" t="s">
        <v>5</v>
      </c>
      <c r="F69" s="237">
        <v>170</v>
      </c>
      <c r="G69" s="237">
        <v>8.5399999999999991</v>
      </c>
      <c r="H69" s="247">
        <f t="shared" ref="H69" si="7">F69*G69</f>
        <v>1451.8</v>
      </c>
    </row>
    <row r="70" spans="1:8" ht="15.75" thickBot="1">
      <c r="A70" s="712" t="s">
        <v>8</v>
      </c>
      <c r="B70" s="713"/>
      <c r="C70" s="713"/>
      <c r="D70" s="713"/>
      <c r="E70" s="713"/>
      <c r="F70" s="713"/>
      <c r="G70" s="714"/>
      <c r="H70" s="248">
        <f>ROUNDDOWN(H69,2)</f>
        <v>1451.8</v>
      </c>
    </row>
    <row r="71" spans="1:8" ht="15.75" customHeight="1" thickBot="1">
      <c r="A71" s="740" t="s">
        <v>32</v>
      </c>
      <c r="B71" s="741"/>
      <c r="C71" s="741"/>
      <c r="D71" s="741"/>
      <c r="E71" s="741"/>
      <c r="F71" s="741"/>
      <c r="G71" s="742"/>
      <c r="H71" s="273">
        <f>ROUNDDOWN(H17+H20+H32+H35+H38+H42+H45+H50+H55+H58+H64+H67+H70,2)</f>
        <v>60343.34</v>
      </c>
    </row>
    <row r="72" spans="1:8" ht="15.75" customHeight="1">
      <c r="A72" s="734"/>
      <c r="B72" s="735"/>
      <c r="C72" s="735"/>
      <c r="D72" s="735"/>
      <c r="E72" s="735"/>
      <c r="F72" s="735"/>
      <c r="G72" s="735"/>
      <c r="H72" s="736"/>
    </row>
    <row r="73" spans="1:8" ht="29.25" customHeight="1">
      <c r="A73" s="737"/>
      <c r="B73" s="738"/>
      <c r="C73" s="738"/>
      <c r="D73" s="738"/>
      <c r="E73" s="738"/>
      <c r="F73" s="738"/>
      <c r="G73" s="738"/>
      <c r="H73" s="739"/>
    </row>
  </sheetData>
  <mergeCells count="21">
    <mergeCell ref="A72:H73"/>
    <mergeCell ref="A70:G70"/>
    <mergeCell ref="A55:G55"/>
    <mergeCell ref="A58:G58"/>
    <mergeCell ref="A64:G64"/>
    <mergeCell ref="A67:G67"/>
    <mergeCell ref="A71:G71"/>
    <mergeCell ref="H1:H4"/>
    <mergeCell ref="C1:G4"/>
    <mergeCell ref="A42:G42"/>
    <mergeCell ref="A1:B4"/>
    <mergeCell ref="A35:G35"/>
    <mergeCell ref="A32:G32"/>
    <mergeCell ref="A45:G45"/>
    <mergeCell ref="A6:H6"/>
    <mergeCell ref="A38:G38"/>
    <mergeCell ref="A7:H7"/>
    <mergeCell ref="A50:G50"/>
    <mergeCell ref="A8:H8"/>
    <mergeCell ref="A20:G20"/>
    <mergeCell ref="A17:G17"/>
  </mergeCells>
  <printOptions horizontalCentered="1" verticalCentered="1"/>
  <pageMargins left="0.11811023622047245" right="0.19685039370078741" top="0.78740157480314965" bottom="0.39370078740157483" header="0.31496062992125984" footer="0.31496062992125984"/>
  <pageSetup paperSize="9" scale="42" fitToHeight="2" orientation="portrait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shapeId="4373" r:id="rId4">
          <objectPr defaultSize="0" autoPict="0" r:id="rId5">
            <anchor moveWithCells="1" siz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361950</xdr:colOff>
                <xdr:row>3</xdr:row>
                <xdr:rowOff>161925</xdr:rowOff>
              </to>
            </anchor>
          </objectPr>
        </oleObject>
      </mc:Choice>
      <mc:Fallback>
        <oleObject shapeId="43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opLeftCell="A27" zoomScaleNormal="100" workbookViewId="0">
      <selection activeCell="G19" sqref="G19"/>
    </sheetView>
  </sheetViews>
  <sheetFormatPr defaultRowHeight="15"/>
  <cols>
    <col min="1" max="1" width="9.28515625" bestFit="1" customWidth="1"/>
    <col min="2" max="2" width="37.28515625" bestFit="1" customWidth="1"/>
    <col min="3" max="3" width="14.5703125" bestFit="1" customWidth="1"/>
    <col min="4" max="6" width="14" bestFit="1" customWidth="1"/>
    <col min="7" max="7" width="14.5703125" style="15" bestFit="1" customWidth="1"/>
    <col min="8" max="8" width="9.5703125" bestFit="1" customWidth="1"/>
    <col min="9" max="9" width="12.140625" bestFit="1" customWidth="1"/>
  </cols>
  <sheetData>
    <row r="1" spans="1:15" s="16" customFormat="1" ht="15.75">
      <c r="A1" s="767"/>
      <c r="B1" s="768"/>
      <c r="C1" s="776" t="s">
        <v>266</v>
      </c>
      <c r="D1" s="777"/>
      <c r="E1" s="777"/>
      <c r="F1" s="777"/>
      <c r="G1" s="773"/>
      <c r="H1" s="22"/>
      <c r="I1" s="766"/>
      <c r="J1" s="766"/>
      <c r="K1" s="766"/>
      <c r="L1" s="766"/>
      <c r="M1" s="766"/>
      <c r="N1" s="766"/>
      <c r="O1" s="766"/>
    </row>
    <row r="2" spans="1:15" s="16" customFormat="1" ht="15.75">
      <c r="A2" s="769"/>
      <c r="B2" s="770"/>
      <c r="C2" s="778"/>
      <c r="D2" s="766"/>
      <c r="E2" s="766"/>
      <c r="F2" s="766"/>
      <c r="G2" s="774"/>
      <c r="H2" s="22"/>
      <c r="I2" s="766"/>
      <c r="J2" s="766"/>
      <c r="K2" s="766"/>
      <c r="L2" s="766"/>
      <c r="M2" s="766"/>
      <c r="N2" s="766"/>
      <c r="O2" s="766"/>
    </row>
    <row r="3" spans="1:15" s="16" customFormat="1" ht="15.75">
      <c r="A3" s="769"/>
      <c r="B3" s="770"/>
      <c r="C3" s="778"/>
      <c r="D3" s="766"/>
      <c r="E3" s="766"/>
      <c r="F3" s="766"/>
      <c r="G3" s="774"/>
      <c r="H3" s="22"/>
      <c r="I3" s="766"/>
      <c r="J3" s="766"/>
      <c r="K3" s="766"/>
      <c r="L3" s="766"/>
      <c r="M3" s="766"/>
      <c r="N3" s="766"/>
      <c r="O3" s="766"/>
    </row>
    <row r="4" spans="1:15" s="16" customFormat="1" ht="31.5" customHeight="1">
      <c r="A4" s="771"/>
      <c r="B4" s="772"/>
      <c r="C4" s="779"/>
      <c r="D4" s="780"/>
      <c r="E4" s="780"/>
      <c r="F4" s="780"/>
      <c r="G4" s="775"/>
      <c r="H4" s="22"/>
      <c r="I4" s="766"/>
      <c r="J4" s="766"/>
      <c r="K4" s="766"/>
      <c r="L4" s="766"/>
      <c r="M4" s="766"/>
      <c r="N4" s="766"/>
      <c r="O4" s="766"/>
    </row>
    <row r="5" spans="1:15" s="16" customFormat="1" ht="16.5">
      <c r="A5" s="749" t="s">
        <v>19</v>
      </c>
      <c r="B5" s="750"/>
      <c r="C5" s="750"/>
      <c r="D5" s="750"/>
      <c r="E5" s="750"/>
      <c r="F5" s="750"/>
      <c r="G5" s="10">
        <v>42287</v>
      </c>
      <c r="H5" s="23"/>
      <c r="I5" s="23"/>
      <c r="J5" s="23"/>
      <c r="K5" s="23"/>
      <c r="L5" s="23"/>
      <c r="M5" s="23"/>
      <c r="N5" s="18"/>
      <c r="O5" s="19"/>
    </row>
    <row r="6" spans="1:15" s="16" customFormat="1" ht="16.5">
      <c r="A6" s="749" t="s">
        <v>684</v>
      </c>
      <c r="B6" s="750"/>
      <c r="C6" s="750"/>
      <c r="D6" s="750"/>
      <c r="E6" s="750"/>
      <c r="F6" s="750"/>
      <c r="G6" s="751"/>
      <c r="H6" s="23"/>
      <c r="I6" s="23"/>
      <c r="J6" s="23"/>
      <c r="K6" s="23"/>
      <c r="L6" s="23"/>
      <c r="M6" s="23"/>
      <c r="N6" s="20"/>
      <c r="O6" s="21"/>
    </row>
    <row r="7" spans="1:15" s="17" customFormat="1" ht="18.75" customHeight="1">
      <c r="A7" s="761" t="s">
        <v>685</v>
      </c>
      <c r="B7" s="761"/>
      <c r="C7" s="761"/>
      <c r="D7" s="761"/>
      <c r="E7" s="761"/>
      <c r="F7" s="761"/>
      <c r="G7" s="761"/>
      <c r="H7" s="24"/>
      <c r="I7" s="24"/>
      <c r="J7" s="24"/>
      <c r="K7" s="24"/>
      <c r="L7" s="24"/>
      <c r="M7" s="24"/>
      <c r="N7" s="24"/>
      <c r="O7" s="24"/>
    </row>
    <row r="8" spans="1:15" s="17" customFormat="1" ht="81.75" customHeight="1">
      <c r="A8" s="762" t="s">
        <v>683</v>
      </c>
      <c r="B8" s="762"/>
      <c r="C8" s="762"/>
      <c r="D8" s="762"/>
      <c r="E8" s="762"/>
      <c r="F8" s="762"/>
      <c r="G8" s="762"/>
      <c r="H8" s="25"/>
      <c r="I8" s="25"/>
      <c r="J8" s="25"/>
      <c r="K8" s="25"/>
      <c r="L8" s="25"/>
      <c r="M8" s="25"/>
      <c r="N8" s="25"/>
      <c r="O8" s="25"/>
    </row>
    <row r="9" spans="1:15" s="16" customFormat="1" ht="18.75" customHeight="1">
      <c r="A9" s="763" t="s">
        <v>31</v>
      </c>
      <c r="B9" s="763"/>
      <c r="C9" s="763"/>
      <c r="D9" s="763"/>
      <c r="E9" s="763"/>
      <c r="F9" s="763"/>
      <c r="G9" s="763"/>
      <c r="H9" s="26"/>
      <c r="I9" s="26"/>
      <c r="J9" s="26"/>
      <c r="K9" s="26"/>
      <c r="L9" s="26"/>
      <c r="M9" s="26"/>
      <c r="N9" s="26"/>
      <c r="O9" s="26"/>
    </row>
    <row r="10" spans="1:15">
      <c r="A10" s="764" t="s">
        <v>25</v>
      </c>
      <c r="B10" s="765" t="s">
        <v>26</v>
      </c>
      <c r="C10" s="760" t="s">
        <v>27</v>
      </c>
      <c r="D10" s="758" t="s">
        <v>28</v>
      </c>
      <c r="E10" s="758" t="s">
        <v>29</v>
      </c>
      <c r="F10" s="758" t="s">
        <v>30</v>
      </c>
      <c r="G10" s="760" t="s">
        <v>13</v>
      </c>
    </row>
    <row r="11" spans="1:15">
      <c r="A11" s="764"/>
      <c r="B11" s="765"/>
      <c r="C11" s="760"/>
      <c r="D11" s="759"/>
      <c r="E11" s="759"/>
      <c r="F11" s="759"/>
      <c r="G11" s="760"/>
    </row>
    <row r="12" spans="1:15" ht="20.100000000000001" customHeight="1">
      <c r="A12" s="745">
        <v>1</v>
      </c>
      <c r="B12" s="745" t="s">
        <v>4</v>
      </c>
      <c r="C12" s="743">
        <v>6486.12</v>
      </c>
      <c r="D12" s="11">
        <v>6486.12</v>
      </c>
      <c r="E12" s="672"/>
      <c r="F12" s="672"/>
      <c r="G12" s="11">
        <f>D12</f>
        <v>6486.12</v>
      </c>
    </row>
    <row r="13" spans="1:15" ht="20.100000000000001" customHeight="1">
      <c r="A13" s="746"/>
      <c r="B13" s="746"/>
      <c r="C13" s="744"/>
      <c r="D13" s="12">
        <f>D12/C38</f>
        <v>0.10748692399194344</v>
      </c>
      <c r="E13" s="673"/>
      <c r="F13" s="673"/>
      <c r="G13" s="12">
        <f>G12/C12</f>
        <v>1</v>
      </c>
    </row>
    <row r="14" spans="1:15" ht="20.100000000000001" customHeight="1">
      <c r="A14" s="745">
        <v>2</v>
      </c>
      <c r="B14" s="745" t="s">
        <v>606</v>
      </c>
      <c r="C14" s="743">
        <v>1622.66</v>
      </c>
      <c r="D14" s="11">
        <v>1622.66</v>
      </c>
      <c r="E14" s="672"/>
      <c r="F14" s="672"/>
      <c r="G14" s="11">
        <f>D14</f>
        <v>1622.66</v>
      </c>
    </row>
    <row r="15" spans="1:15" ht="20.100000000000001" customHeight="1">
      <c r="A15" s="746"/>
      <c r="B15" s="746"/>
      <c r="C15" s="744"/>
      <c r="D15" s="12">
        <f>D14/C38</f>
        <v>2.6890457173898565E-2</v>
      </c>
      <c r="E15" s="673"/>
      <c r="F15" s="673"/>
      <c r="G15" s="12">
        <f>G14/C14</f>
        <v>1</v>
      </c>
    </row>
    <row r="16" spans="1:15" ht="20.100000000000001" customHeight="1">
      <c r="A16" s="745">
        <v>3</v>
      </c>
      <c r="B16" s="745" t="s">
        <v>9</v>
      </c>
      <c r="C16" s="743">
        <v>3403.3</v>
      </c>
      <c r="D16" s="11">
        <v>1403.3</v>
      </c>
      <c r="E16" s="11">
        <v>2000</v>
      </c>
      <c r="F16" s="672"/>
      <c r="G16" s="11">
        <f>D16+E16</f>
        <v>3403.3</v>
      </c>
    </row>
    <row r="17" spans="1:7" ht="20.100000000000001" customHeight="1">
      <c r="A17" s="746"/>
      <c r="B17" s="746"/>
      <c r="C17" s="744"/>
      <c r="D17" s="12">
        <f>D16/C38</f>
        <v>2.3255258989641609E-2</v>
      </c>
      <c r="E17" s="12">
        <f>E16/C38</f>
        <v>3.314367418177383E-2</v>
      </c>
      <c r="F17" s="673"/>
      <c r="G17" s="12">
        <f>G16/C16</f>
        <v>1</v>
      </c>
    </row>
    <row r="18" spans="1:7" ht="20.100000000000001" customHeight="1">
      <c r="A18" s="745">
        <v>4</v>
      </c>
      <c r="B18" s="745" t="s">
        <v>619</v>
      </c>
      <c r="C18" s="743">
        <v>378.23</v>
      </c>
      <c r="D18" s="752"/>
      <c r="E18" s="672"/>
      <c r="F18" s="11">
        <v>378.23</v>
      </c>
      <c r="G18" s="11">
        <f>F18</f>
        <v>378.23</v>
      </c>
    </row>
    <row r="19" spans="1:7" ht="20.100000000000001" customHeight="1">
      <c r="A19" s="746"/>
      <c r="B19" s="746"/>
      <c r="C19" s="744"/>
      <c r="D19" s="753"/>
      <c r="E19" s="673"/>
      <c r="F19" s="12">
        <f>F18/C38</f>
        <v>6.2679659428861584E-3</v>
      </c>
      <c r="G19" s="12">
        <f>G18/C18</f>
        <v>1</v>
      </c>
    </row>
    <row r="20" spans="1:7" ht="20.100000000000001" customHeight="1">
      <c r="A20" s="745">
        <v>5</v>
      </c>
      <c r="B20" s="745" t="s">
        <v>621</v>
      </c>
      <c r="C20" s="743">
        <v>1777.2</v>
      </c>
      <c r="D20" s="672"/>
      <c r="E20" s="11">
        <v>1777.2</v>
      </c>
      <c r="F20" s="672"/>
      <c r="G20" s="11">
        <f>E20</f>
        <v>1777.2</v>
      </c>
    </row>
    <row r="21" spans="1:7" ht="20.100000000000001" customHeight="1">
      <c r="A21" s="746"/>
      <c r="B21" s="746"/>
      <c r="C21" s="744"/>
      <c r="D21" s="673"/>
      <c r="E21" s="12">
        <f>E20/C38</f>
        <v>2.9451468877924228E-2</v>
      </c>
      <c r="F21" s="673"/>
      <c r="G21" s="12">
        <f>G20/C20</f>
        <v>1</v>
      </c>
    </row>
    <row r="22" spans="1:7" ht="20.100000000000001" customHeight="1">
      <c r="A22" s="745">
        <v>6</v>
      </c>
      <c r="B22" s="745" t="s">
        <v>67</v>
      </c>
      <c r="C22" s="743">
        <v>2066.64</v>
      </c>
      <c r="D22" s="672"/>
      <c r="E22" s="11">
        <v>1000</v>
      </c>
      <c r="F22" s="11">
        <v>1066.6400000000001</v>
      </c>
      <c r="G22" s="11">
        <f>E22+F22</f>
        <v>2066.6400000000003</v>
      </c>
    </row>
    <row r="23" spans="1:7" ht="20.100000000000001" customHeight="1">
      <c r="A23" s="746"/>
      <c r="B23" s="746"/>
      <c r="C23" s="757"/>
      <c r="D23" s="673"/>
      <c r="E23" s="12">
        <f>E22/C38</f>
        <v>1.6571837090886915E-2</v>
      </c>
      <c r="F23" s="12">
        <v>2.5399999999999999E-2</v>
      </c>
      <c r="G23" s="12">
        <f>G22/C22</f>
        <v>1.0000000000000002</v>
      </c>
    </row>
    <row r="24" spans="1:7" ht="20.100000000000001" customHeight="1">
      <c r="A24" s="745">
        <v>7</v>
      </c>
      <c r="B24" s="747" t="s">
        <v>625</v>
      </c>
      <c r="C24" s="743">
        <v>701.55</v>
      </c>
      <c r="D24" s="673"/>
      <c r="E24" s="11">
        <v>701.55</v>
      </c>
      <c r="F24" s="673"/>
      <c r="G24" s="11">
        <f>E24</f>
        <v>701.55</v>
      </c>
    </row>
    <row r="25" spans="1:7" ht="20.100000000000001" customHeight="1">
      <c r="A25" s="746"/>
      <c r="B25" s="748"/>
      <c r="C25" s="757"/>
      <c r="D25" s="673"/>
      <c r="E25" s="12">
        <f>E24/C38</f>
        <v>1.1625972311111715E-2</v>
      </c>
      <c r="F25" s="673"/>
      <c r="G25" s="12">
        <f>G24/C24</f>
        <v>1</v>
      </c>
    </row>
    <row r="26" spans="1:7" ht="20.100000000000001" customHeight="1">
      <c r="A26" s="745">
        <v>8</v>
      </c>
      <c r="B26" s="745" t="s">
        <v>70</v>
      </c>
      <c r="C26" s="743">
        <v>13704</v>
      </c>
      <c r="D26" s="673"/>
      <c r="E26" s="11">
        <v>7000</v>
      </c>
      <c r="F26" s="11">
        <v>6704</v>
      </c>
      <c r="G26" s="11">
        <f>E26+F26</f>
        <v>13704</v>
      </c>
    </row>
    <row r="27" spans="1:7" ht="20.100000000000001" customHeight="1">
      <c r="A27" s="746"/>
      <c r="B27" s="746"/>
      <c r="C27" s="757"/>
      <c r="D27" s="673"/>
      <c r="E27" s="12">
        <f>E26/C38</f>
        <v>0.11600285963620841</v>
      </c>
      <c r="F27" s="12">
        <f>F26/D38</f>
        <v>0.64256412222520409</v>
      </c>
      <c r="G27" s="12">
        <f>G26/C26</f>
        <v>1</v>
      </c>
    </row>
    <row r="28" spans="1:7" ht="20.100000000000001" customHeight="1">
      <c r="A28" s="745">
        <v>9</v>
      </c>
      <c r="B28" s="745" t="s">
        <v>630</v>
      </c>
      <c r="C28" s="743">
        <v>921.12</v>
      </c>
      <c r="D28" s="671">
        <v>921.12</v>
      </c>
      <c r="E28" s="674"/>
      <c r="F28" s="673"/>
      <c r="G28" s="11">
        <f>D28+E28</f>
        <v>921.12</v>
      </c>
    </row>
    <row r="29" spans="1:7" ht="20.100000000000001" customHeight="1">
      <c r="A29" s="746"/>
      <c r="B29" s="746"/>
      <c r="C29" s="744"/>
      <c r="D29" s="12">
        <f>D28/C38</f>
        <v>1.5264650581157757E-2</v>
      </c>
      <c r="E29" s="673"/>
      <c r="F29" s="673"/>
      <c r="G29" s="12">
        <f>G28/C28</f>
        <v>1</v>
      </c>
    </row>
    <row r="30" spans="1:7" ht="20.100000000000001" customHeight="1">
      <c r="A30" s="745">
        <v>10</v>
      </c>
      <c r="B30" s="745" t="s">
        <v>595</v>
      </c>
      <c r="C30" s="743">
        <v>219.76</v>
      </c>
      <c r="D30" s="673"/>
      <c r="E30" s="673"/>
      <c r="F30" s="671">
        <v>219.76</v>
      </c>
      <c r="G30" s="11">
        <f>F30</f>
        <v>219.76</v>
      </c>
    </row>
    <row r="31" spans="1:7" ht="20.100000000000001" customHeight="1">
      <c r="A31" s="746"/>
      <c r="B31" s="746"/>
      <c r="C31" s="744"/>
      <c r="D31" s="673"/>
      <c r="E31" s="673"/>
      <c r="F31" s="12">
        <f>F30/C38</f>
        <v>3.6418269190933083E-3</v>
      </c>
      <c r="G31" s="12">
        <f>G30/C30</f>
        <v>1</v>
      </c>
    </row>
    <row r="32" spans="1:7" ht="20.100000000000001" customHeight="1">
      <c r="A32" s="745">
        <v>11</v>
      </c>
      <c r="B32" s="745" t="s">
        <v>11</v>
      </c>
      <c r="C32" s="743">
        <v>24423.32</v>
      </c>
      <c r="D32" s="674"/>
      <c r="E32" s="671">
        <v>12423.32</v>
      </c>
      <c r="F32" s="671">
        <v>12000</v>
      </c>
      <c r="G32" s="11">
        <f>D32+E32+F32</f>
        <v>24423.32</v>
      </c>
    </row>
    <row r="33" spans="1:9" ht="20.100000000000001" customHeight="1">
      <c r="A33" s="746"/>
      <c r="B33" s="746"/>
      <c r="C33" s="744"/>
      <c r="D33" s="673"/>
      <c r="E33" s="12">
        <f>E32/C38</f>
        <v>0.20587723516795722</v>
      </c>
      <c r="F33" s="12">
        <f>F32/C38</f>
        <v>0.19886204509064298</v>
      </c>
      <c r="G33" s="12">
        <f>G32/C32</f>
        <v>1</v>
      </c>
    </row>
    <row r="34" spans="1:9" ht="20.100000000000001" customHeight="1">
      <c r="A34" s="745">
        <v>12</v>
      </c>
      <c r="B34" s="747" t="s">
        <v>640</v>
      </c>
      <c r="C34" s="743">
        <v>3187.64</v>
      </c>
      <c r="D34" s="674"/>
      <c r="E34" s="671">
        <v>3187.64</v>
      </c>
      <c r="F34" s="674"/>
      <c r="G34" s="11">
        <f>D34+E34+F34</f>
        <v>3187.64</v>
      </c>
    </row>
    <row r="35" spans="1:9" ht="20.100000000000001" customHeight="1">
      <c r="A35" s="746"/>
      <c r="B35" s="748"/>
      <c r="C35" s="744"/>
      <c r="D35" s="673"/>
      <c r="E35" s="12">
        <f>E34/C38</f>
        <v>5.2825050784394763E-2</v>
      </c>
      <c r="F35" s="673"/>
      <c r="G35" s="12">
        <f>G34/C34</f>
        <v>1</v>
      </c>
    </row>
    <row r="36" spans="1:9" ht="20.100000000000001" customHeight="1">
      <c r="A36" s="745">
        <v>13</v>
      </c>
      <c r="B36" s="747" t="s">
        <v>642</v>
      </c>
      <c r="C36" s="743">
        <v>1451.8</v>
      </c>
      <c r="D36" s="674"/>
      <c r="E36" s="674"/>
      <c r="F36" s="671">
        <v>1451.8</v>
      </c>
      <c r="G36" s="11">
        <f>D36+E36+F36</f>
        <v>1451.8</v>
      </c>
    </row>
    <row r="37" spans="1:9" ht="20.100000000000001" customHeight="1">
      <c r="A37" s="746"/>
      <c r="B37" s="748"/>
      <c r="C37" s="744"/>
      <c r="D37" s="673"/>
      <c r="E37" s="673"/>
      <c r="F37" s="12">
        <f>F36/C38</f>
        <v>2.4058993088549623E-2</v>
      </c>
      <c r="G37" s="12">
        <f>G36/C36</f>
        <v>1</v>
      </c>
    </row>
    <row r="38" spans="1:9" ht="20.100000000000001" customHeight="1">
      <c r="A38" s="754" t="s">
        <v>13</v>
      </c>
      <c r="B38" s="754"/>
      <c r="C38" s="755">
        <f>ROUNDDOWN(C12+C14+C16+C18+C20+C22+C24+C26+C28+C30+C32+C34+C36,2)</f>
        <v>60343.34</v>
      </c>
      <c r="D38" s="13">
        <f>SUM(D12+D14+D16+D18+D28)</f>
        <v>10433.200000000001</v>
      </c>
      <c r="E38" s="13">
        <f>SUM(E12+E14+E16+E18+E20+E22+E24+E26+E28+E32+E34)</f>
        <v>28089.71</v>
      </c>
      <c r="F38" s="13">
        <f>SUM(F12+F14+F16+F18+F20+F22+F26+F30+F32+F36)</f>
        <v>21820.429999999997</v>
      </c>
      <c r="G38" s="13">
        <f>G12+G14+G16+G18+G20+G22+G24+G26+G28+G30+G32+G34+G36</f>
        <v>60343.34</v>
      </c>
      <c r="H38" s="670">
        <f>C38-G38</f>
        <v>0</v>
      </c>
      <c r="I38" s="675" t="e">
        <f>#REF!+H38</f>
        <v>#REF!</v>
      </c>
    </row>
    <row r="39" spans="1:9" ht="20.100000000000001" customHeight="1">
      <c r="A39" s="754"/>
      <c r="B39" s="754"/>
      <c r="C39" s="756"/>
      <c r="D39" s="14">
        <f>D38/$C$38</f>
        <v>0.17289729073664137</v>
      </c>
      <c r="E39" s="14">
        <f t="shared" ref="E39:F39" si="0">E38/$C$38</f>
        <v>0.4654980980502571</v>
      </c>
      <c r="F39" s="14">
        <f t="shared" si="0"/>
        <v>0.3616046112131015</v>
      </c>
      <c r="G39" s="14">
        <f>SUM(D39:F39)</f>
        <v>1</v>
      </c>
    </row>
  </sheetData>
  <mergeCells count="61">
    <mergeCell ref="A5:F5"/>
    <mergeCell ref="I1:O1"/>
    <mergeCell ref="I2:O2"/>
    <mergeCell ref="I3:O3"/>
    <mergeCell ref="I4:O4"/>
    <mergeCell ref="A1:B4"/>
    <mergeCell ref="G1:G4"/>
    <mergeCell ref="C1:F4"/>
    <mergeCell ref="A7:G7"/>
    <mergeCell ref="A8:G8"/>
    <mergeCell ref="A9:G9"/>
    <mergeCell ref="A10:A11"/>
    <mergeCell ref="B10:B11"/>
    <mergeCell ref="C10:C11"/>
    <mergeCell ref="D10:D11"/>
    <mergeCell ref="F10:F11"/>
    <mergeCell ref="C28:C29"/>
    <mergeCell ref="C12:C13"/>
    <mergeCell ref="E10:E11"/>
    <mergeCell ref="B14:B15"/>
    <mergeCell ref="G10:G11"/>
    <mergeCell ref="B12:B13"/>
    <mergeCell ref="D18:D19"/>
    <mergeCell ref="A38:B39"/>
    <mergeCell ref="C38:C39"/>
    <mergeCell ref="A20:A21"/>
    <mergeCell ref="B20:B21"/>
    <mergeCell ref="C20:C21"/>
    <mergeCell ref="A22:A23"/>
    <mergeCell ref="B22:B23"/>
    <mergeCell ref="C22:C23"/>
    <mergeCell ref="A28:A29"/>
    <mergeCell ref="B24:B25"/>
    <mergeCell ref="B26:B27"/>
    <mergeCell ref="B28:B29"/>
    <mergeCell ref="C24:C25"/>
    <mergeCell ref="C26:C27"/>
    <mergeCell ref="A30:A31"/>
    <mergeCell ref="A32:A33"/>
    <mergeCell ref="A34:A35"/>
    <mergeCell ref="A36:A37"/>
    <mergeCell ref="A6:G6"/>
    <mergeCell ref="A24:A25"/>
    <mergeCell ref="A26:A27"/>
    <mergeCell ref="C14:C15"/>
    <mergeCell ref="A16:A17"/>
    <mergeCell ref="B16:B17"/>
    <mergeCell ref="C16:C17"/>
    <mergeCell ref="C18:C19"/>
    <mergeCell ref="A14:A15"/>
    <mergeCell ref="B18:B19"/>
    <mergeCell ref="A18:A19"/>
    <mergeCell ref="A12:A13"/>
    <mergeCell ref="C30:C31"/>
    <mergeCell ref="C32:C33"/>
    <mergeCell ref="C34:C35"/>
    <mergeCell ref="C36:C37"/>
    <mergeCell ref="B30:B31"/>
    <mergeCell ref="B32:B33"/>
    <mergeCell ref="B34:B35"/>
    <mergeCell ref="B36:B3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shapeId="9867" r:id="rId4">
          <objectPr defaultSize="0" autoPict="0" r:id="rId5">
            <anchor moveWithCells="1" sizeWithCells="1">
              <from>
                <xdr:col>1</xdr:col>
                <xdr:colOff>476250</xdr:colOff>
                <xdr:row>0</xdr:row>
                <xdr:rowOff>57150</xdr:rowOff>
              </from>
              <to>
                <xdr:col>1</xdr:col>
                <xdr:colOff>1352550</xdr:colOff>
                <xdr:row>3</xdr:row>
                <xdr:rowOff>352425</xdr:rowOff>
              </to>
            </anchor>
          </objectPr>
        </oleObject>
      </mc:Choice>
      <mc:Fallback>
        <oleObject shapeId="986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71"/>
  <sheetViews>
    <sheetView view="pageBreakPreview" zoomScale="150" zoomScaleSheetLayoutView="150" workbookViewId="0">
      <selection activeCell="B864" sqref="B864"/>
    </sheetView>
  </sheetViews>
  <sheetFormatPr defaultRowHeight="12.75"/>
  <cols>
    <col min="1" max="1" width="13.85546875" style="143" customWidth="1"/>
    <col min="2" max="2" width="19.42578125" style="144" customWidth="1"/>
    <col min="3" max="3" width="10.85546875" style="144" customWidth="1"/>
    <col min="4" max="4" width="12" style="144" customWidth="1"/>
    <col min="5" max="5" width="10.5703125" style="144" bestFit="1" customWidth="1"/>
    <col min="6" max="6" width="10.85546875" style="144" customWidth="1"/>
    <col min="7" max="16384" width="9.140625" style="67"/>
  </cols>
  <sheetData>
    <row r="1" spans="1:6" ht="58.5" customHeight="1">
      <c r="A1" s="279" t="s">
        <v>151</v>
      </c>
      <c r="B1" s="945" t="s">
        <v>266</v>
      </c>
      <c r="C1" s="946"/>
      <c r="D1" s="946"/>
      <c r="E1" s="942"/>
      <c r="F1" s="943"/>
    </row>
    <row r="2" spans="1:6" ht="15.75" customHeight="1">
      <c r="A2" s="953" t="s">
        <v>79</v>
      </c>
      <c r="B2" s="954"/>
      <c r="C2" s="954"/>
      <c r="D2" s="954"/>
      <c r="E2" s="956" t="s">
        <v>80</v>
      </c>
      <c r="F2" s="957"/>
    </row>
    <row r="3" spans="1:6">
      <c r="A3" s="953"/>
      <c r="B3" s="954"/>
      <c r="C3" s="954"/>
      <c r="D3" s="954"/>
      <c r="E3" s="958">
        <v>42195</v>
      </c>
      <c r="F3" s="959"/>
    </row>
    <row r="4" spans="1:6">
      <c r="A4" s="960" t="s">
        <v>113</v>
      </c>
      <c r="B4" s="961"/>
      <c r="C4" s="961"/>
      <c r="D4" s="962"/>
      <c r="E4" s="963" t="s">
        <v>81</v>
      </c>
      <c r="F4" s="964"/>
    </row>
    <row r="5" spans="1:6">
      <c r="A5" s="947" t="s">
        <v>304</v>
      </c>
      <c r="B5" s="948"/>
      <c r="C5" s="948"/>
      <c r="D5" s="948"/>
      <c r="E5" s="948"/>
      <c r="F5" s="949"/>
    </row>
    <row r="6" spans="1:6" ht="13.5" thickBot="1">
      <c r="A6" s="950" t="s">
        <v>305</v>
      </c>
      <c r="B6" s="951"/>
      <c r="C6" s="951"/>
      <c r="D6" s="951"/>
      <c r="E6" s="951"/>
      <c r="F6" s="952"/>
    </row>
    <row r="7" spans="1:6" s="70" customFormat="1" ht="13.5" thickBot="1">
      <c r="A7" s="68" t="s">
        <v>20</v>
      </c>
      <c r="B7" s="955" t="s">
        <v>21</v>
      </c>
      <c r="C7" s="955"/>
      <c r="D7" s="955"/>
      <c r="E7" s="278" t="s">
        <v>22</v>
      </c>
      <c r="F7" s="69" t="s">
        <v>23</v>
      </c>
    </row>
    <row r="8" spans="1:6" s="70" customFormat="1" ht="13.5" thickBot="1">
      <c r="A8" s="71">
        <v>1</v>
      </c>
      <c r="B8" s="826" t="s">
        <v>4</v>
      </c>
      <c r="C8" s="782"/>
      <c r="D8" s="782"/>
      <c r="E8" s="782"/>
      <c r="F8" s="783"/>
    </row>
    <row r="9" spans="1:6" s="70" customFormat="1" ht="26.25" customHeight="1" thickBot="1">
      <c r="A9" s="72">
        <v>10203</v>
      </c>
      <c r="B9" s="814" t="s">
        <v>156</v>
      </c>
      <c r="C9" s="815"/>
      <c r="D9" s="816"/>
      <c r="E9" s="73" t="s">
        <v>98</v>
      </c>
      <c r="F9" s="74">
        <f>E11</f>
        <v>12.5</v>
      </c>
    </row>
    <row r="10" spans="1:6" s="70" customFormat="1" ht="12.75" customHeight="1">
      <c r="A10" s="283"/>
      <c r="B10" s="126" t="s">
        <v>83</v>
      </c>
      <c r="C10" s="75" t="s">
        <v>84</v>
      </c>
      <c r="D10" s="75" t="s">
        <v>94</v>
      </c>
      <c r="E10" s="115" t="s">
        <v>13</v>
      </c>
      <c r="F10" s="280"/>
    </row>
    <row r="11" spans="1:6" s="70" customFormat="1" ht="14.25" customHeight="1" thickBot="1">
      <c r="A11" s="281"/>
      <c r="B11" s="207" t="s">
        <v>313</v>
      </c>
      <c r="C11" s="150">
        <v>4.21</v>
      </c>
      <c r="D11" s="150">
        <v>2.97</v>
      </c>
      <c r="E11" s="150">
        <f>ROUNDDOWN(D11*C11,2)</f>
        <v>12.5</v>
      </c>
      <c r="F11" s="282"/>
    </row>
    <row r="12" spans="1:6" s="70" customFormat="1" ht="27.75" customHeight="1" thickBot="1">
      <c r="A12" s="72" t="s">
        <v>159</v>
      </c>
      <c r="B12" s="814" t="s">
        <v>158</v>
      </c>
      <c r="C12" s="815"/>
      <c r="D12" s="816"/>
      <c r="E12" s="73" t="s">
        <v>82</v>
      </c>
      <c r="F12" s="74">
        <f>ROUNDDOWN(F14+F15+F16+F17+F18+F19+F20+F21+F22+F23+F24+F25+F26+F27+F28+F29,2)</f>
        <v>6.17</v>
      </c>
    </row>
    <row r="13" spans="1:6" s="70" customFormat="1">
      <c r="A13" s="414"/>
      <c r="B13" s="126" t="s">
        <v>83</v>
      </c>
      <c r="C13" s="75" t="s">
        <v>84</v>
      </c>
      <c r="D13" s="75" t="s">
        <v>85</v>
      </c>
      <c r="E13" s="75" t="s">
        <v>90</v>
      </c>
      <c r="F13" s="75" t="s">
        <v>23</v>
      </c>
    </row>
    <row r="14" spans="1:6" s="70" customFormat="1">
      <c r="A14" s="276"/>
      <c r="B14" s="339" t="s">
        <v>314</v>
      </c>
      <c r="C14" s="77">
        <v>8.4600000000000009</v>
      </c>
      <c r="D14" s="151">
        <v>0.13</v>
      </c>
      <c r="E14" s="151">
        <v>2.29</v>
      </c>
      <c r="F14" s="78">
        <f t="shared" ref="F14:F23" si="0">ROUNDDOWN(C14*D14*E14,2)</f>
        <v>2.5099999999999998</v>
      </c>
    </row>
    <row r="15" spans="1:6" s="70" customFormat="1">
      <c r="A15" s="276"/>
      <c r="B15" s="415" t="s">
        <v>328</v>
      </c>
      <c r="C15" s="212">
        <v>2.81</v>
      </c>
      <c r="D15" s="206">
        <v>0.13</v>
      </c>
      <c r="E15" s="206">
        <v>0.57999999999999996</v>
      </c>
      <c r="F15" s="86">
        <f t="shared" si="0"/>
        <v>0.21</v>
      </c>
    </row>
    <row r="16" spans="1:6" s="70" customFormat="1" ht="25.5">
      <c r="A16" s="413" t="s">
        <v>379</v>
      </c>
      <c r="B16" s="412" t="s">
        <v>330</v>
      </c>
      <c r="C16" s="152">
        <f>2-1.04</f>
        <v>0.96</v>
      </c>
      <c r="D16" s="205">
        <v>0.13</v>
      </c>
      <c r="E16" s="205">
        <v>1.1000000000000001</v>
      </c>
      <c r="F16" s="86">
        <f t="shared" si="0"/>
        <v>0.13</v>
      </c>
    </row>
    <row r="17" spans="1:6" s="70" customFormat="1">
      <c r="A17" s="944" t="s">
        <v>362</v>
      </c>
      <c r="B17" s="412" t="s">
        <v>330</v>
      </c>
      <c r="C17" s="152">
        <f>2-1.04</f>
        <v>0.96</v>
      </c>
      <c r="D17" s="205">
        <v>0.13</v>
      </c>
      <c r="E17" s="205">
        <v>1.1000000000000001</v>
      </c>
      <c r="F17" s="86">
        <f t="shared" si="0"/>
        <v>0.13</v>
      </c>
    </row>
    <row r="18" spans="1:6" s="70" customFormat="1">
      <c r="A18" s="944"/>
      <c r="B18" s="412" t="s">
        <v>155</v>
      </c>
      <c r="C18" s="205">
        <v>2</v>
      </c>
      <c r="D18" s="118">
        <v>0.13</v>
      </c>
      <c r="E18" s="205">
        <v>1.1000000000000001</v>
      </c>
      <c r="F18" s="86">
        <f t="shared" si="0"/>
        <v>0.28000000000000003</v>
      </c>
    </row>
    <row r="19" spans="1:6" s="70" customFormat="1">
      <c r="A19" s="413" t="s">
        <v>154</v>
      </c>
      <c r="B19" s="412" t="s">
        <v>155</v>
      </c>
      <c r="C19" s="152">
        <f>2-1.04</f>
        <v>0.96</v>
      </c>
      <c r="D19" s="205">
        <v>0.13</v>
      </c>
      <c r="E19" s="205">
        <v>1.1000000000000001</v>
      </c>
      <c r="F19" s="86">
        <f t="shared" si="0"/>
        <v>0.13</v>
      </c>
    </row>
    <row r="20" spans="1:6" s="70" customFormat="1">
      <c r="A20" s="413" t="s">
        <v>363</v>
      </c>
      <c r="B20" s="412" t="s">
        <v>155</v>
      </c>
      <c r="C20" s="152">
        <f>2-1.04</f>
        <v>0.96</v>
      </c>
      <c r="D20" s="205">
        <v>0.13</v>
      </c>
      <c r="E20" s="205">
        <v>1.1000000000000001</v>
      </c>
      <c r="F20" s="78">
        <f t="shared" si="0"/>
        <v>0.13</v>
      </c>
    </row>
    <row r="21" spans="1:6" s="70" customFormat="1">
      <c r="A21" s="490" t="s">
        <v>349</v>
      </c>
      <c r="B21" s="416" t="s">
        <v>335</v>
      </c>
      <c r="C21" s="206">
        <v>2.4</v>
      </c>
      <c r="D21" s="206">
        <v>0.13</v>
      </c>
      <c r="E21" s="206">
        <v>3</v>
      </c>
      <c r="F21" s="86">
        <f t="shared" si="0"/>
        <v>0.93</v>
      </c>
    </row>
    <row r="22" spans="1:6" s="70" customFormat="1">
      <c r="A22" s="870" t="s">
        <v>347</v>
      </c>
      <c r="B22" s="412" t="s">
        <v>330</v>
      </c>
      <c r="C22" s="205">
        <f>1.16*2</f>
        <v>2.3199999999999998</v>
      </c>
      <c r="D22" s="205">
        <v>0.13</v>
      </c>
      <c r="E22" s="205">
        <v>1.1000000000000001</v>
      </c>
      <c r="F22" s="86">
        <f t="shared" si="0"/>
        <v>0.33</v>
      </c>
    </row>
    <row r="23" spans="1:6" s="70" customFormat="1">
      <c r="A23" s="871"/>
      <c r="B23" s="412" t="s">
        <v>335</v>
      </c>
      <c r="C23" s="205">
        <f>1.6-0.84</f>
        <v>0.76000000000000012</v>
      </c>
      <c r="D23" s="205">
        <v>0.13</v>
      </c>
      <c r="E23" s="205">
        <v>1.1000000000000001</v>
      </c>
      <c r="F23" s="86">
        <f t="shared" si="0"/>
        <v>0.1</v>
      </c>
    </row>
    <row r="24" spans="1:6" s="70" customFormat="1">
      <c r="A24" s="870" t="s">
        <v>348</v>
      </c>
      <c r="B24" s="412" t="s">
        <v>330</v>
      </c>
      <c r="C24" s="205">
        <f>1.16*2</f>
        <v>2.3199999999999998</v>
      </c>
      <c r="D24" s="205">
        <v>0.13</v>
      </c>
      <c r="E24" s="205">
        <v>1.1000000000000001</v>
      </c>
      <c r="F24" s="86">
        <f t="shared" ref="F24:F25" si="1">ROUNDDOWN(C24*D24*E24,2)</f>
        <v>0.33</v>
      </c>
    </row>
    <row r="25" spans="1:6" s="70" customFormat="1">
      <c r="A25" s="871"/>
      <c r="B25" s="412" t="s">
        <v>335</v>
      </c>
      <c r="C25" s="205">
        <f>1.6-0.84</f>
        <v>0.76000000000000012</v>
      </c>
      <c r="D25" s="205">
        <v>0.13</v>
      </c>
      <c r="E25" s="205">
        <v>1.1000000000000001</v>
      </c>
      <c r="F25" s="86">
        <f t="shared" si="1"/>
        <v>0.1</v>
      </c>
    </row>
    <row r="26" spans="1:6" s="70" customFormat="1" ht="15" customHeight="1">
      <c r="A26" s="870" t="s">
        <v>116</v>
      </c>
      <c r="B26" s="412" t="s">
        <v>155</v>
      </c>
      <c r="C26" s="205">
        <f>1.16*2</f>
        <v>2.3199999999999998</v>
      </c>
      <c r="D26" s="205">
        <v>0.13</v>
      </c>
      <c r="E26" s="205">
        <v>1.1000000000000001</v>
      </c>
      <c r="F26" s="86">
        <f t="shared" ref="F26" si="2">ROUNDDOWN(C26*D26*E26,2)</f>
        <v>0.33</v>
      </c>
    </row>
    <row r="27" spans="1:6" s="70" customFormat="1">
      <c r="A27" s="871"/>
      <c r="B27" s="412" t="s">
        <v>335</v>
      </c>
      <c r="C27" s="205">
        <f>1.6-0.84</f>
        <v>0.76000000000000012</v>
      </c>
      <c r="D27" s="205">
        <v>0.13</v>
      </c>
      <c r="E27" s="205">
        <v>1.1000000000000001</v>
      </c>
      <c r="F27" s="86">
        <f t="shared" ref="F27:F28" si="3">ROUNDDOWN(C27*D27*E27,2)</f>
        <v>0.1</v>
      </c>
    </row>
    <row r="28" spans="1:6" s="70" customFormat="1">
      <c r="A28" s="870" t="s">
        <v>153</v>
      </c>
      <c r="B28" s="412" t="s">
        <v>155</v>
      </c>
      <c r="C28" s="205">
        <f>1.16*2</f>
        <v>2.3199999999999998</v>
      </c>
      <c r="D28" s="205">
        <v>0.13</v>
      </c>
      <c r="E28" s="205">
        <v>1.1000000000000001</v>
      </c>
      <c r="F28" s="86">
        <f t="shared" si="3"/>
        <v>0.33</v>
      </c>
    </row>
    <row r="29" spans="1:6" s="70" customFormat="1" ht="13.5" thickBot="1">
      <c r="A29" s="871"/>
      <c r="B29" s="412" t="s">
        <v>335</v>
      </c>
      <c r="C29" s="205">
        <f>1.6-0.84</f>
        <v>0.76000000000000012</v>
      </c>
      <c r="D29" s="205">
        <v>0.13</v>
      </c>
      <c r="E29" s="205">
        <v>1.1000000000000001</v>
      </c>
      <c r="F29" s="86">
        <f t="shared" ref="F29" si="4">ROUNDDOWN(C29*D29*E29,2)</f>
        <v>0.1</v>
      </c>
    </row>
    <row r="30" spans="1:6" s="79" customFormat="1" ht="13.5" thickBot="1">
      <c r="A30" s="72">
        <v>72231</v>
      </c>
      <c r="B30" s="88" t="s">
        <v>160</v>
      </c>
      <c r="C30" s="89"/>
      <c r="D30" s="89"/>
      <c r="E30" s="73" t="s">
        <v>98</v>
      </c>
      <c r="F30" s="74">
        <f>ROUNDDOWN(E32+E33+E34+E35+E36+E37+E38+E39,2)</f>
        <v>449.18</v>
      </c>
    </row>
    <row r="31" spans="1:6" s="79" customFormat="1" ht="15" customHeight="1">
      <c r="A31" s="935" t="s">
        <v>83</v>
      </c>
      <c r="B31" s="797"/>
      <c r="C31" s="624" t="s">
        <v>84</v>
      </c>
      <c r="D31" s="102" t="s">
        <v>94</v>
      </c>
      <c r="E31" s="621" t="s">
        <v>13</v>
      </c>
      <c r="F31" s="99"/>
    </row>
    <row r="32" spans="1:6" s="79" customFormat="1" ht="12.75" customHeight="1">
      <c r="A32" s="808" t="s">
        <v>537</v>
      </c>
      <c r="B32" s="798"/>
      <c r="C32" s="914" t="s">
        <v>104</v>
      </c>
      <c r="D32" s="916"/>
      <c r="E32" s="86">
        <v>123.75</v>
      </c>
      <c r="F32" s="76"/>
    </row>
    <row r="33" spans="1:6" s="79" customFormat="1" ht="26.25" customHeight="1">
      <c r="A33" s="833" t="s">
        <v>466</v>
      </c>
      <c r="B33" s="834"/>
      <c r="C33" s="914" t="s">
        <v>104</v>
      </c>
      <c r="D33" s="916"/>
      <c r="E33" s="86">
        <v>2.72</v>
      </c>
      <c r="F33" s="478"/>
    </row>
    <row r="34" spans="1:6" s="79" customFormat="1" ht="25.5" customHeight="1">
      <c r="A34" s="791" t="s">
        <v>538</v>
      </c>
      <c r="B34" s="798"/>
      <c r="C34" s="635">
        <v>10.48</v>
      </c>
      <c r="D34" s="78">
        <v>12.41</v>
      </c>
      <c r="E34" s="78">
        <f t="shared" ref="E34:E39" si="5">ROUNDDOWN(D34*C34,2)</f>
        <v>130.05000000000001</v>
      </c>
      <c r="F34" s="634"/>
    </row>
    <row r="35" spans="1:6" s="79" customFormat="1">
      <c r="A35" s="791" t="s">
        <v>539</v>
      </c>
      <c r="B35" s="798"/>
      <c r="C35" s="636">
        <v>4.4000000000000004</v>
      </c>
      <c r="D35" s="78">
        <v>5.76</v>
      </c>
      <c r="E35" s="78">
        <f t="shared" si="5"/>
        <v>25.34</v>
      </c>
      <c r="F35" s="634"/>
    </row>
    <row r="36" spans="1:6" s="79" customFormat="1">
      <c r="A36" s="794" t="s">
        <v>540</v>
      </c>
      <c r="B36" s="794"/>
      <c r="C36" s="635">
        <v>2.57</v>
      </c>
      <c r="D36" s="78">
        <v>6.75</v>
      </c>
      <c r="E36" s="78">
        <f t="shared" si="5"/>
        <v>17.34</v>
      </c>
      <c r="F36" s="634"/>
    </row>
    <row r="37" spans="1:6" s="79" customFormat="1">
      <c r="A37" s="791" t="s">
        <v>541</v>
      </c>
      <c r="B37" s="798"/>
      <c r="C37" s="635">
        <v>19.37</v>
      </c>
      <c r="D37" s="78">
        <v>7.18</v>
      </c>
      <c r="E37" s="78">
        <f t="shared" si="5"/>
        <v>139.07</v>
      </c>
      <c r="F37" s="634"/>
    </row>
    <row r="38" spans="1:6" s="79" customFormat="1" ht="15">
      <c r="A38" s="791" t="s">
        <v>542</v>
      </c>
      <c r="B38" s="792"/>
      <c r="C38" s="637">
        <v>3.27</v>
      </c>
      <c r="D38" s="86">
        <v>1.4</v>
      </c>
      <c r="E38" s="78">
        <f t="shared" si="5"/>
        <v>4.57</v>
      </c>
      <c r="F38" s="634"/>
    </row>
    <row r="39" spans="1:6" s="79" customFormat="1" ht="15.75" thickBot="1">
      <c r="A39" s="791" t="s">
        <v>543</v>
      </c>
      <c r="B39" s="792"/>
      <c r="C39" s="637">
        <v>4.53</v>
      </c>
      <c r="D39" s="86">
        <v>1.4</v>
      </c>
      <c r="E39" s="78">
        <f t="shared" si="5"/>
        <v>6.34</v>
      </c>
      <c r="F39" s="634"/>
    </row>
    <row r="40" spans="1:6" s="79" customFormat="1" ht="25.5" customHeight="1" thickBot="1">
      <c r="A40" s="72" t="s">
        <v>274</v>
      </c>
      <c r="B40" s="814" t="s">
        <v>273</v>
      </c>
      <c r="C40" s="815"/>
      <c r="D40" s="816"/>
      <c r="E40" s="73" t="s">
        <v>87</v>
      </c>
      <c r="F40" s="74">
        <f>D42</f>
        <v>87.98</v>
      </c>
    </row>
    <row r="41" spans="1:6" s="79" customFormat="1">
      <c r="A41" s="84"/>
      <c r="B41" s="796" t="s">
        <v>83</v>
      </c>
      <c r="C41" s="797"/>
      <c r="D41" s="627" t="s">
        <v>23</v>
      </c>
      <c r="E41" s="91"/>
      <c r="F41" s="87"/>
    </row>
    <row r="42" spans="1:6" s="79" customFormat="1" ht="13.5" thickBot="1">
      <c r="A42" s="92"/>
      <c r="B42" s="917" t="s">
        <v>315</v>
      </c>
      <c r="C42" s="918"/>
      <c r="D42" s="86">
        <v>87.98</v>
      </c>
      <c r="E42" s="85"/>
      <c r="F42" s="93"/>
    </row>
    <row r="43" spans="1:6" s="79" customFormat="1" ht="26.25" customHeight="1" thickBot="1">
      <c r="A43" s="72" t="s">
        <v>306</v>
      </c>
      <c r="B43" s="814" t="s">
        <v>307</v>
      </c>
      <c r="C43" s="815"/>
      <c r="D43" s="816"/>
      <c r="E43" s="73" t="s">
        <v>87</v>
      </c>
      <c r="F43" s="74">
        <f>ROUNDDOWN(E45+E46,2)</f>
        <v>15.88</v>
      </c>
    </row>
    <row r="44" spans="1:6" s="79" customFormat="1">
      <c r="A44" s="94"/>
      <c r="B44" s="75" t="s">
        <v>83</v>
      </c>
      <c r="C44" s="75" t="s">
        <v>112</v>
      </c>
      <c r="D44" s="75" t="s">
        <v>90</v>
      </c>
      <c r="E44" s="116" t="s">
        <v>13</v>
      </c>
      <c r="F44" s="83"/>
    </row>
    <row r="45" spans="1:6" s="79" customFormat="1" ht="13.5" customHeight="1">
      <c r="A45" s="103"/>
      <c r="B45" s="444" t="s">
        <v>314</v>
      </c>
      <c r="C45" s="78">
        <f>4.21+4.08+0.7</f>
        <v>8.9899999999999984</v>
      </c>
      <c r="D45" s="78">
        <v>1.63</v>
      </c>
      <c r="E45" s="104">
        <f>ROUNDDOWN(D45*C45,2)</f>
        <v>14.65</v>
      </c>
      <c r="F45" s="284"/>
    </row>
    <row r="46" spans="1:6" s="79" customFormat="1" ht="13.5" thickBot="1">
      <c r="A46" s="103"/>
      <c r="B46" s="444" t="s">
        <v>328</v>
      </c>
      <c r="C46" s="366">
        <v>2.0499999999999998</v>
      </c>
      <c r="D46" s="366">
        <v>0.6</v>
      </c>
      <c r="E46" s="104">
        <f>ROUNDDOWN(D46*C46,2)</f>
        <v>1.23</v>
      </c>
      <c r="F46" s="284"/>
    </row>
    <row r="47" spans="1:6" s="79" customFormat="1" ht="13.5" thickBot="1">
      <c r="A47" s="72">
        <v>85333</v>
      </c>
      <c r="B47" s="814" t="s">
        <v>308</v>
      </c>
      <c r="C47" s="815"/>
      <c r="D47" s="816"/>
      <c r="E47" s="73" t="s">
        <v>64</v>
      </c>
      <c r="F47" s="74">
        <v>5</v>
      </c>
    </row>
    <row r="48" spans="1:6" s="79" customFormat="1" ht="25.5">
      <c r="A48" s="935" t="s">
        <v>83</v>
      </c>
      <c r="B48" s="797"/>
      <c r="C48" s="626" t="s">
        <v>317</v>
      </c>
      <c r="D48" s="82" t="s">
        <v>318</v>
      </c>
      <c r="E48" s="106"/>
      <c r="F48" s="284"/>
    </row>
    <row r="49" spans="1:6" s="79" customFormat="1">
      <c r="A49" s="979" t="s">
        <v>319</v>
      </c>
      <c r="B49" s="980"/>
      <c r="C49" s="359">
        <v>1</v>
      </c>
      <c r="D49" s="359">
        <v>1</v>
      </c>
      <c r="E49" s="114"/>
      <c r="F49" s="103"/>
    </row>
    <row r="50" spans="1:6" s="79" customFormat="1">
      <c r="A50" s="979" t="s">
        <v>319</v>
      </c>
      <c r="B50" s="980"/>
      <c r="C50" s="359">
        <v>1</v>
      </c>
      <c r="D50" s="359">
        <v>1</v>
      </c>
      <c r="E50" s="114"/>
      <c r="F50" s="103"/>
    </row>
    <row r="51" spans="1:6" s="79" customFormat="1" ht="13.5" thickBot="1">
      <c r="A51" s="981" t="s">
        <v>316</v>
      </c>
      <c r="B51" s="982"/>
      <c r="C51" s="111">
        <v>1</v>
      </c>
      <c r="D51" s="111"/>
      <c r="E51" s="110"/>
      <c r="F51" s="85"/>
    </row>
    <row r="52" spans="1:6" s="79" customFormat="1" ht="13.5" thickBot="1">
      <c r="A52" s="72">
        <v>10208</v>
      </c>
      <c r="B52" s="814" t="s">
        <v>368</v>
      </c>
      <c r="C52" s="815"/>
      <c r="D52" s="816"/>
      <c r="E52" s="73" t="s">
        <v>64</v>
      </c>
      <c r="F52" s="74">
        <f>E54</f>
        <v>4</v>
      </c>
    </row>
    <row r="53" spans="1:6" s="79" customFormat="1">
      <c r="A53" s="334"/>
      <c r="B53" s="75" t="s">
        <v>83</v>
      </c>
      <c r="C53" s="75" t="s">
        <v>112</v>
      </c>
      <c r="D53" s="75" t="s">
        <v>90</v>
      </c>
      <c r="E53" s="116" t="s">
        <v>13</v>
      </c>
      <c r="F53" s="103"/>
    </row>
    <row r="54" spans="1:6" s="79" customFormat="1" ht="39" thickBot="1">
      <c r="A54" s="335"/>
      <c r="B54" s="204" t="s">
        <v>369</v>
      </c>
      <c r="C54" s="111">
        <v>4</v>
      </c>
      <c r="D54" s="111">
        <v>1</v>
      </c>
      <c r="E54" s="159">
        <f>D54*C54</f>
        <v>4</v>
      </c>
      <c r="F54" s="85"/>
    </row>
    <row r="55" spans="1:6" s="79" customFormat="1" ht="13.5" thickBot="1">
      <c r="A55" s="72">
        <v>72142</v>
      </c>
      <c r="B55" s="814" t="s">
        <v>376</v>
      </c>
      <c r="C55" s="815"/>
      <c r="D55" s="816"/>
      <c r="E55" s="73" t="s">
        <v>64</v>
      </c>
      <c r="F55" s="74">
        <f>C57+C58+C59+C60</f>
        <v>7</v>
      </c>
    </row>
    <row r="56" spans="1:6" s="79" customFormat="1">
      <c r="A56" s="334"/>
      <c r="B56" s="75" t="s">
        <v>83</v>
      </c>
      <c r="C56" s="404" t="s">
        <v>23</v>
      </c>
      <c r="D56" s="404"/>
      <c r="E56" s="114"/>
      <c r="F56" s="103"/>
    </row>
    <row r="57" spans="1:6" s="79" customFormat="1">
      <c r="A57" s="334"/>
      <c r="B57" s="333" t="s">
        <v>379</v>
      </c>
      <c r="C57" s="404">
        <v>1</v>
      </c>
      <c r="D57" s="404"/>
      <c r="E57" s="114"/>
      <c r="F57" s="103"/>
    </row>
    <row r="58" spans="1:6" s="79" customFormat="1">
      <c r="A58" s="334"/>
      <c r="B58" s="333" t="s">
        <v>362</v>
      </c>
      <c r="C58" s="404">
        <v>2</v>
      </c>
      <c r="D58" s="404"/>
      <c r="E58" s="114"/>
      <c r="F58" s="103"/>
    </row>
    <row r="59" spans="1:6" s="79" customFormat="1">
      <c r="A59" s="402"/>
      <c r="B59" s="204" t="s">
        <v>154</v>
      </c>
      <c r="C59" s="404">
        <v>2</v>
      </c>
      <c r="D59" s="111"/>
      <c r="E59" s="110"/>
      <c r="F59" s="85"/>
    </row>
    <row r="60" spans="1:6" s="79" customFormat="1" ht="13.5" thickBot="1">
      <c r="A60" s="402"/>
      <c r="B60" s="204" t="s">
        <v>363</v>
      </c>
      <c r="C60" s="404">
        <v>2</v>
      </c>
      <c r="D60" s="111"/>
      <c r="E60" s="110"/>
      <c r="F60" s="85"/>
    </row>
    <row r="61" spans="1:6" s="79" customFormat="1" ht="13.5" thickBot="1">
      <c r="A61" s="72">
        <v>72143</v>
      </c>
      <c r="B61" s="814" t="s">
        <v>377</v>
      </c>
      <c r="C61" s="815"/>
      <c r="D61" s="816"/>
      <c r="E61" s="73" t="s">
        <v>64</v>
      </c>
      <c r="F61" s="74">
        <f>C63+C64+C65+C66</f>
        <v>7</v>
      </c>
    </row>
    <row r="62" spans="1:6" s="79" customFormat="1">
      <c r="A62" s="334"/>
      <c r="B62" s="75" t="s">
        <v>83</v>
      </c>
      <c r="C62" s="404" t="s">
        <v>287</v>
      </c>
      <c r="D62" s="404"/>
      <c r="E62" s="114"/>
      <c r="F62" s="103"/>
    </row>
    <row r="63" spans="1:6" s="79" customFormat="1">
      <c r="A63" s="334"/>
      <c r="B63" s="333" t="s">
        <v>379</v>
      </c>
      <c r="C63" s="404">
        <v>1</v>
      </c>
      <c r="D63" s="404"/>
      <c r="E63" s="114"/>
      <c r="F63" s="103"/>
    </row>
    <row r="64" spans="1:6" s="79" customFormat="1">
      <c r="A64" s="334"/>
      <c r="B64" s="204" t="s">
        <v>362</v>
      </c>
      <c r="C64" s="404">
        <v>2</v>
      </c>
      <c r="D64" s="404"/>
      <c r="E64" s="114"/>
      <c r="F64" s="103"/>
    </row>
    <row r="65" spans="1:6" s="79" customFormat="1">
      <c r="A65" s="334"/>
      <c r="B65" s="204" t="s">
        <v>154</v>
      </c>
      <c r="C65" s="404">
        <v>2</v>
      </c>
      <c r="D65" s="404"/>
      <c r="E65" s="114"/>
      <c r="F65" s="103"/>
    </row>
    <row r="66" spans="1:6" s="79" customFormat="1" ht="13.5" thickBot="1">
      <c r="A66" s="402"/>
      <c r="B66" s="204" t="s">
        <v>363</v>
      </c>
      <c r="C66" s="404">
        <v>2</v>
      </c>
      <c r="D66" s="111"/>
      <c r="E66" s="110"/>
      <c r="F66" s="85"/>
    </row>
    <row r="67" spans="1:6" s="79" customFormat="1" ht="27" customHeight="1" thickBot="1">
      <c r="A67" s="72">
        <v>10224</v>
      </c>
      <c r="B67" s="814" t="s">
        <v>378</v>
      </c>
      <c r="C67" s="815"/>
      <c r="D67" s="816"/>
      <c r="E67" s="73" t="s">
        <v>98</v>
      </c>
      <c r="F67" s="74">
        <f>ROUNDDOWN(E69+E70+E71+E72,2)</f>
        <v>13.23</v>
      </c>
    </row>
    <row r="68" spans="1:6" s="79" customFormat="1">
      <c r="A68" s="334"/>
      <c r="B68" s="75" t="s">
        <v>83</v>
      </c>
      <c r="C68" s="404" t="s">
        <v>112</v>
      </c>
      <c r="D68" s="404" t="s">
        <v>90</v>
      </c>
      <c r="E68" s="114" t="s">
        <v>13</v>
      </c>
      <c r="F68" s="103"/>
    </row>
    <row r="69" spans="1:6" s="79" customFormat="1" ht="25.5">
      <c r="A69" s="334"/>
      <c r="B69" s="333" t="s">
        <v>382</v>
      </c>
      <c r="C69" s="404">
        <v>1.1000000000000001</v>
      </c>
      <c r="D69" s="404">
        <v>1.18</v>
      </c>
      <c r="E69" s="630">
        <f>ROUNDDOWN(D69*C69,2)</f>
        <v>1.29</v>
      </c>
      <c r="F69" s="103"/>
    </row>
    <row r="70" spans="1:6" s="79" customFormat="1" ht="25.5">
      <c r="A70" s="334"/>
      <c r="B70" s="204" t="s">
        <v>383</v>
      </c>
      <c r="C70" s="404">
        <v>1.1000000000000001</v>
      </c>
      <c r="D70" s="404">
        <v>1.18</v>
      </c>
      <c r="E70" s="630">
        <f>ROUNDDOWN(D70*C70,2)</f>
        <v>1.29</v>
      </c>
      <c r="F70" s="103"/>
    </row>
    <row r="71" spans="1:6" s="79" customFormat="1">
      <c r="A71" s="334"/>
      <c r="B71" s="204" t="s">
        <v>380</v>
      </c>
      <c r="C71" s="890" t="s">
        <v>453</v>
      </c>
      <c r="D71" s="891"/>
      <c r="E71" s="114">
        <v>3.95</v>
      </c>
      <c r="F71" s="103"/>
    </row>
    <row r="72" spans="1:6" s="79" customFormat="1" ht="13.5" thickBot="1">
      <c r="A72" s="402"/>
      <c r="B72" s="204" t="s">
        <v>381</v>
      </c>
      <c r="C72" s="904" t="s">
        <v>453</v>
      </c>
      <c r="D72" s="905"/>
      <c r="E72" s="110">
        <f>3.79+2.91</f>
        <v>6.7</v>
      </c>
      <c r="F72" s="85"/>
    </row>
    <row r="73" spans="1:6" s="79" customFormat="1" ht="26.25" customHeight="1" thickBot="1">
      <c r="A73" s="72">
        <v>72227</v>
      </c>
      <c r="B73" s="939" t="s">
        <v>535</v>
      </c>
      <c r="C73" s="940"/>
      <c r="D73" s="941"/>
      <c r="E73" s="73" t="s">
        <v>98</v>
      </c>
      <c r="F73" s="74">
        <f>ROUNDDOWN(E75+E76+E77+E78+E80+E79+E81+E82,20)</f>
        <v>449.18</v>
      </c>
    </row>
    <row r="74" spans="1:6" s="79" customFormat="1">
      <c r="A74" s="935" t="s">
        <v>83</v>
      </c>
      <c r="B74" s="797"/>
      <c r="C74" s="624" t="s">
        <v>84</v>
      </c>
      <c r="D74" s="102" t="s">
        <v>94</v>
      </c>
      <c r="E74" s="621" t="s">
        <v>13</v>
      </c>
      <c r="F74" s="99"/>
    </row>
    <row r="75" spans="1:6" s="79" customFormat="1" ht="24.75" customHeight="1">
      <c r="A75" s="808" t="s">
        <v>537</v>
      </c>
      <c r="B75" s="798"/>
      <c r="C75" s="914" t="s">
        <v>104</v>
      </c>
      <c r="D75" s="916"/>
      <c r="E75" s="86">
        <v>123.75</v>
      </c>
      <c r="F75" s="76"/>
    </row>
    <row r="76" spans="1:6" s="79" customFormat="1">
      <c r="A76" s="833" t="s">
        <v>466</v>
      </c>
      <c r="B76" s="834"/>
      <c r="C76" s="914" t="s">
        <v>104</v>
      </c>
      <c r="D76" s="916"/>
      <c r="E76" s="86">
        <v>2.72</v>
      </c>
      <c r="F76" s="478"/>
    </row>
    <row r="77" spans="1:6" s="79" customFormat="1" ht="24.75" customHeight="1">
      <c r="A77" s="791" t="s">
        <v>538</v>
      </c>
      <c r="B77" s="798"/>
      <c r="C77" s="635">
        <v>10.48</v>
      </c>
      <c r="D77" s="78">
        <v>12.41</v>
      </c>
      <c r="E77" s="78">
        <f t="shared" ref="E77:E82" si="6">ROUNDDOWN(D77*C77,2)</f>
        <v>130.05000000000001</v>
      </c>
      <c r="F77" s="634"/>
    </row>
    <row r="78" spans="1:6" s="79" customFormat="1">
      <c r="A78" s="791" t="s">
        <v>539</v>
      </c>
      <c r="B78" s="798"/>
      <c r="C78" s="636">
        <v>4.4000000000000004</v>
      </c>
      <c r="D78" s="78">
        <v>5.76</v>
      </c>
      <c r="E78" s="78">
        <f t="shared" si="6"/>
        <v>25.34</v>
      </c>
      <c r="F78" s="634"/>
    </row>
    <row r="79" spans="1:6" s="79" customFormat="1">
      <c r="A79" s="794" t="s">
        <v>540</v>
      </c>
      <c r="B79" s="794"/>
      <c r="C79" s="635">
        <v>2.57</v>
      </c>
      <c r="D79" s="78">
        <v>6.75</v>
      </c>
      <c r="E79" s="78">
        <f t="shared" si="6"/>
        <v>17.34</v>
      </c>
      <c r="F79" s="634"/>
    </row>
    <row r="80" spans="1:6" s="79" customFormat="1" ht="40.5" customHeight="1">
      <c r="A80" s="791" t="s">
        <v>541</v>
      </c>
      <c r="B80" s="798"/>
      <c r="C80" s="635">
        <v>19.37</v>
      </c>
      <c r="D80" s="78">
        <v>7.18</v>
      </c>
      <c r="E80" s="78">
        <f t="shared" si="6"/>
        <v>139.07</v>
      </c>
      <c r="F80" s="634"/>
    </row>
    <row r="81" spans="1:6" s="79" customFormat="1" ht="15">
      <c r="A81" s="791" t="s">
        <v>542</v>
      </c>
      <c r="B81" s="792"/>
      <c r="C81" s="637">
        <v>3.27</v>
      </c>
      <c r="D81" s="86">
        <v>1.4</v>
      </c>
      <c r="E81" s="78">
        <f t="shared" si="6"/>
        <v>4.57</v>
      </c>
      <c r="F81" s="478"/>
    </row>
    <row r="82" spans="1:6" s="79" customFormat="1" ht="15.75" thickBot="1">
      <c r="A82" s="833" t="s">
        <v>543</v>
      </c>
      <c r="B82" s="983"/>
      <c r="C82" s="637">
        <v>4.53</v>
      </c>
      <c r="D82" s="86">
        <v>1.4</v>
      </c>
      <c r="E82" s="86">
        <f t="shared" si="6"/>
        <v>6.34</v>
      </c>
      <c r="F82" s="478"/>
    </row>
    <row r="83" spans="1:6" s="79" customFormat="1" ht="13.5" thickBot="1">
      <c r="A83" s="72">
        <v>72232</v>
      </c>
      <c r="B83" s="939" t="s">
        <v>536</v>
      </c>
      <c r="C83" s="940"/>
      <c r="D83" s="941"/>
      <c r="E83" s="73" t="s">
        <v>17</v>
      </c>
      <c r="F83" s="74">
        <f>ROUNDDOWN(D85+D86,2)</f>
        <v>43.33</v>
      </c>
    </row>
    <row r="84" spans="1:6" s="79" customFormat="1">
      <c r="A84" s="796" t="s">
        <v>83</v>
      </c>
      <c r="B84" s="797"/>
      <c r="C84" s="624" t="s">
        <v>84</v>
      </c>
      <c r="D84" s="116" t="s">
        <v>13</v>
      </c>
      <c r="E84" s="114"/>
      <c r="F84" s="103"/>
    </row>
    <row r="85" spans="1:6" s="79" customFormat="1" ht="25.5" customHeight="1">
      <c r="A85" s="808" t="s">
        <v>544</v>
      </c>
      <c r="B85" s="798"/>
      <c r="C85" s="635" t="s">
        <v>545</v>
      </c>
      <c r="D85" s="635">
        <f>2.49+2.49+3.39+3.39</f>
        <v>11.760000000000002</v>
      </c>
      <c r="E85" s="114"/>
      <c r="F85" s="103"/>
    </row>
    <row r="86" spans="1:6" s="79" customFormat="1" ht="27.75" customHeight="1" thickBot="1">
      <c r="A86" s="791" t="s">
        <v>538</v>
      </c>
      <c r="B86" s="798"/>
      <c r="C86" s="635" t="s">
        <v>545</v>
      </c>
      <c r="D86" s="635">
        <f>ROUNDDOWN((7.41*4)+1.93,2)</f>
        <v>31.57</v>
      </c>
      <c r="E86" s="114"/>
      <c r="F86" s="103"/>
    </row>
    <row r="87" spans="1:6" s="79" customFormat="1" ht="13.5" thickBot="1">
      <c r="A87" s="72">
        <v>72236</v>
      </c>
      <c r="B87" s="939" t="s">
        <v>557</v>
      </c>
      <c r="C87" s="940"/>
      <c r="D87" s="941"/>
      <c r="E87" s="73" t="s">
        <v>98</v>
      </c>
      <c r="F87" s="74">
        <f>ROUNDDOWN(E89+E90,2)</f>
        <v>55.9</v>
      </c>
    </row>
    <row r="88" spans="1:6" s="79" customFormat="1">
      <c r="A88" s="629"/>
      <c r="B88" s="627" t="s">
        <v>83</v>
      </c>
      <c r="C88" s="632" t="s">
        <v>112</v>
      </c>
      <c r="D88" s="632" t="s">
        <v>94</v>
      </c>
      <c r="E88" s="114" t="s">
        <v>13</v>
      </c>
      <c r="F88" s="103"/>
    </row>
    <row r="89" spans="1:6" s="79" customFormat="1">
      <c r="A89" s="629"/>
      <c r="B89" s="629" t="s">
        <v>116</v>
      </c>
      <c r="C89" s="635">
        <v>4.87</v>
      </c>
      <c r="D89" s="635">
        <v>5.77</v>
      </c>
      <c r="E89" s="114">
        <f>ROUNDDOWN(D89*C89,2)</f>
        <v>28.09</v>
      </c>
      <c r="F89" s="103"/>
    </row>
    <row r="90" spans="1:6" s="79" customFormat="1" ht="13.5" thickBot="1">
      <c r="A90" s="629"/>
      <c r="B90" s="629" t="s">
        <v>153</v>
      </c>
      <c r="C90" s="637">
        <v>4.82</v>
      </c>
      <c r="D90" s="635">
        <v>5.77</v>
      </c>
      <c r="E90" s="114">
        <f>ROUNDDOWN(D90*C90,2)</f>
        <v>27.81</v>
      </c>
      <c r="F90" s="103"/>
    </row>
    <row r="91" spans="1:6" s="79" customFormat="1" ht="26.25" customHeight="1" thickBot="1">
      <c r="A91" s="72">
        <v>72238</v>
      </c>
      <c r="B91" s="939" t="s">
        <v>558</v>
      </c>
      <c r="C91" s="940"/>
      <c r="D91" s="941"/>
      <c r="E91" s="73" t="s">
        <v>98</v>
      </c>
      <c r="F91" s="74">
        <f>ROUNDDOWN(E93+E94,2)</f>
        <v>56.67</v>
      </c>
    </row>
    <row r="92" spans="1:6" s="79" customFormat="1">
      <c r="A92" s="629"/>
      <c r="B92" s="627" t="s">
        <v>83</v>
      </c>
      <c r="C92" s="632" t="s">
        <v>112</v>
      </c>
      <c r="D92" s="632" t="s">
        <v>94</v>
      </c>
      <c r="E92" s="114" t="s">
        <v>13</v>
      </c>
      <c r="F92" s="103"/>
    </row>
    <row r="93" spans="1:6" s="79" customFormat="1">
      <c r="A93" s="629"/>
      <c r="B93" s="629" t="s">
        <v>347</v>
      </c>
      <c r="C93" s="635">
        <v>4.87</v>
      </c>
      <c r="D93" s="635">
        <v>5.85</v>
      </c>
      <c r="E93" s="114">
        <f>ROUNDDOWN(D93*C93,2)</f>
        <v>28.48</v>
      </c>
      <c r="F93" s="103"/>
    </row>
    <row r="94" spans="1:6" s="79" customFormat="1" ht="13.5" thickBot="1">
      <c r="A94" s="204"/>
      <c r="B94" s="204" t="s">
        <v>348</v>
      </c>
      <c r="C94" s="637">
        <v>4.82</v>
      </c>
      <c r="D94" s="637">
        <v>5.85</v>
      </c>
      <c r="E94" s="110">
        <f>ROUNDDOWN(D94*C94,2)</f>
        <v>28.19</v>
      </c>
      <c r="F94" s="85"/>
    </row>
    <row r="95" spans="1:6" s="79" customFormat="1" ht="13.5" thickBot="1">
      <c r="A95" s="68">
        <v>73616</v>
      </c>
      <c r="B95" s="1006" t="s">
        <v>573</v>
      </c>
      <c r="C95" s="1007"/>
      <c r="D95" s="1008"/>
      <c r="E95" s="666" t="s">
        <v>82</v>
      </c>
      <c r="F95" s="69">
        <f>ROUNDDOWN(F97,2)</f>
        <v>5.48</v>
      </c>
    </row>
    <row r="96" spans="1:6" s="79" customFormat="1">
      <c r="A96" s="667"/>
      <c r="B96" s="116" t="s">
        <v>83</v>
      </c>
      <c r="C96" s="116" t="s">
        <v>112</v>
      </c>
      <c r="D96" s="116" t="s">
        <v>94</v>
      </c>
      <c r="E96" s="116" t="s">
        <v>90</v>
      </c>
      <c r="F96" s="139" t="s">
        <v>13</v>
      </c>
    </row>
    <row r="97" spans="1:6" s="79" customFormat="1" ht="13.5" thickBot="1">
      <c r="A97" s="667"/>
      <c r="B97" s="150" t="s">
        <v>574</v>
      </c>
      <c r="C97" s="482">
        <v>23.47</v>
      </c>
      <c r="D97" s="482">
        <v>1.67</v>
      </c>
      <c r="E97" s="482">
        <v>0.14000000000000001</v>
      </c>
      <c r="F97" s="657">
        <f>E97*D97*C97</f>
        <v>5.4872860000000001</v>
      </c>
    </row>
    <row r="98" spans="1:6" s="79" customFormat="1" ht="13.5" thickBot="1">
      <c r="A98" s="71">
        <v>2</v>
      </c>
      <c r="B98" s="826" t="s">
        <v>61</v>
      </c>
      <c r="C98" s="782"/>
      <c r="D98" s="782"/>
      <c r="E98" s="782"/>
      <c r="F98" s="783"/>
    </row>
    <row r="99" spans="1:6" s="79" customFormat="1" ht="27" customHeight="1" thickBot="1">
      <c r="A99" s="72" t="s">
        <v>161</v>
      </c>
      <c r="B99" s="784" t="s">
        <v>164</v>
      </c>
      <c r="C99" s="784"/>
      <c r="D99" s="784"/>
      <c r="E99" s="73" t="s">
        <v>98</v>
      </c>
      <c r="F99" s="74">
        <f>ROUNDDOWN(E102+E103+E104,2)</f>
        <v>45.91</v>
      </c>
    </row>
    <row r="100" spans="1:6" s="79" customFormat="1" ht="13.5" customHeight="1">
      <c r="A100" s="835" t="s">
        <v>167</v>
      </c>
      <c r="B100" s="836"/>
      <c r="C100" s="836"/>
      <c r="D100" s="837"/>
      <c r="E100" s="221"/>
      <c r="F100" s="286"/>
    </row>
    <row r="101" spans="1:6" s="79" customFormat="1" ht="13.5" customHeight="1">
      <c r="A101" s="934" t="s">
        <v>83</v>
      </c>
      <c r="B101" s="916"/>
      <c r="C101" s="108" t="s">
        <v>112</v>
      </c>
      <c r="D101" s="108" t="s">
        <v>90</v>
      </c>
      <c r="E101" s="108" t="s">
        <v>13</v>
      </c>
      <c r="F101" s="280"/>
    </row>
    <row r="102" spans="1:6" s="79" customFormat="1">
      <c r="A102" s="791" t="s">
        <v>321</v>
      </c>
      <c r="B102" s="798"/>
      <c r="C102" s="108">
        <v>2.97</v>
      </c>
      <c r="D102" s="108">
        <v>2.2000000000000002</v>
      </c>
      <c r="E102" s="367">
        <f>ROUNDDOWN(D102*C102,2)</f>
        <v>6.53</v>
      </c>
      <c r="F102" s="148"/>
    </row>
    <row r="103" spans="1:6" s="79" customFormat="1">
      <c r="A103" s="833" t="s">
        <v>320</v>
      </c>
      <c r="B103" s="834"/>
      <c r="C103" s="222">
        <v>2.6</v>
      </c>
      <c r="D103" s="274">
        <v>2.2000000000000002</v>
      </c>
      <c r="E103" s="222">
        <f>ROUNDDOWN(D103*C103,2)</f>
        <v>5.72</v>
      </c>
      <c r="F103" s="149"/>
    </row>
    <row r="104" spans="1:6" s="79" customFormat="1" ht="13.5" thickBot="1">
      <c r="A104" s="204"/>
      <c r="B104" s="204" t="s">
        <v>454</v>
      </c>
      <c r="C104" s="222">
        <v>15.3</v>
      </c>
      <c r="D104" s="274">
        <v>2.2000000000000002</v>
      </c>
      <c r="E104" s="222">
        <f>ROUNDDOWN(D104*C104,2)</f>
        <v>33.659999999999997</v>
      </c>
      <c r="F104" s="149"/>
    </row>
    <row r="105" spans="1:6" s="79" customFormat="1" ht="13.5" thickBot="1">
      <c r="A105" s="72" t="s">
        <v>162</v>
      </c>
      <c r="B105" s="784" t="s">
        <v>165</v>
      </c>
      <c r="C105" s="784"/>
      <c r="D105" s="784"/>
      <c r="E105" s="73" t="s">
        <v>87</v>
      </c>
      <c r="F105" s="74">
        <v>8</v>
      </c>
    </row>
    <row r="106" spans="1:6" s="79" customFormat="1" ht="14.25" customHeight="1" thickBot="1">
      <c r="A106" s="80"/>
      <c r="B106" s="811" t="s">
        <v>88</v>
      </c>
      <c r="C106" s="812"/>
      <c r="D106" s="813"/>
      <c r="E106" s="94"/>
      <c r="F106" s="83"/>
    </row>
    <row r="107" spans="1:6" s="79" customFormat="1" ht="27.75" customHeight="1" thickBot="1">
      <c r="A107" s="72" t="s">
        <v>163</v>
      </c>
      <c r="B107" s="814" t="s">
        <v>166</v>
      </c>
      <c r="C107" s="815"/>
      <c r="D107" s="816"/>
      <c r="E107" s="73" t="s">
        <v>87</v>
      </c>
      <c r="F107" s="74">
        <v>10</v>
      </c>
    </row>
    <row r="108" spans="1:6" s="79" customFormat="1" ht="13.5" thickBot="1">
      <c r="A108" s="84"/>
      <c r="B108" s="811" t="s">
        <v>89</v>
      </c>
      <c r="C108" s="812"/>
      <c r="D108" s="813"/>
      <c r="E108" s="91"/>
      <c r="F108" s="87"/>
    </row>
    <row r="109" spans="1:6" s="79" customFormat="1" ht="13.5" thickBot="1">
      <c r="A109" s="71">
        <v>3</v>
      </c>
      <c r="B109" s="826" t="s">
        <v>9</v>
      </c>
      <c r="C109" s="782"/>
      <c r="D109" s="782"/>
      <c r="E109" s="782"/>
      <c r="F109" s="783"/>
    </row>
    <row r="110" spans="1:6" s="79" customFormat="1" ht="13.5" thickBot="1">
      <c r="A110" s="145">
        <v>73447</v>
      </c>
      <c r="B110" s="817" t="s">
        <v>168</v>
      </c>
      <c r="C110" s="817"/>
      <c r="D110" s="817"/>
      <c r="E110" s="146" t="s">
        <v>82</v>
      </c>
      <c r="F110" s="147">
        <f>F113+F115</f>
        <v>18.3704</v>
      </c>
    </row>
    <row r="111" spans="1:6" s="79" customFormat="1">
      <c r="A111" s="505" t="s">
        <v>83</v>
      </c>
      <c r="B111" s="508" t="s">
        <v>84</v>
      </c>
      <c r="C111" s="508" t="s">
        <v>85</v>
      </c>
      <c r="D111" s="508" t="s">
        <v>86</v>
      </c>
      <c r="E111" s="508" t="s">
        <v>23</v>
      </c>
      <c r="F111" s="509" t="s">
        <v>13</v>
      </c>
    </row>
    <row r="112" spans="1:6" s="79" customFormat="1">
      <c r="A112" s="510" t="s">
        <v>480</v>
      </c>
      <c r="B112" s="511"/>
      <c r="C112" s="512"/>
      <c r="D112" s="512"/>
      <c r="E112" s="512"/>
      <c r="F112" s="513"/>
    </row>
    <row r="113" spans="1:11" s="79" customFormat="1">
      <c r="A113" s="514" t="s">
        <v>481</v>
      </c>
      <c r="B113" s="526">
        <v>0.8</v>
      </c>
      <c r="C113" s="527">
        <v>0.8</v>
      </c>
      <c r="D113" s="527">
        <v>1</v>
      </c>
      <c r="E113" s="527">
        <v>14</v>
      </c>
      <c r="F113" s="527">
        <f>B113*C113*D113*E113</f>
        <v>8.9600000000000009</v>
      </c>
    </row>
    <row r="114" spans="1:11" s="79" customFormat="1" ht="15" customHeight="1">
      <c r="A114" s="510" t="s">
        <v>484</v>
      </c>
      <c r="B114" s="519"/>
      <c r="C114" s="519"/>
      <c r="D114" s="520"/>
      <c r="E114" s="519"/>
      <c r="F114" s="521"/>
    </row>
    <row r="115" spans="1:11" s="79" customFormat="1" ht="13.5" thickBot="1">
      <c r="A115" s="514" t="s">
        <v>485</v>
      </c>
      <c r="B115" s="511">
        <v>52.28</v>
      </c>
      <c r="C115" s="522">
        <v>0.3</v>
      </c>
      <c r="D115" s="522">
        <v>0.6</v>
      </c>
      <c r="E115" s="522"/>
      <c r="F115" s="513">
        <f>B115*C115*D115</f>
        <v>9.4103999999999992</v>
      </c>
    </row>
    <row r="116" spans="1:11" s="79" customFormat="1" ht="51.75" customHeight="1" thickBot="1">
      <c r="A116" s="72">
        <v>5719</v>
      </c>
      <c r="B116" s="784" t="s">
        <v>169</v>
      </c>
      <c r="C116" s="784"/>
      <c r="D116" s="784"/>
      <c r="E116" s="73" t="s">
        <v>82</v>
      </c>
      <c r="F116" s="74">
        <f>D119</f>
        <v>15.25</v>
      </c>
    </row>
    <row r="117" spans="1:11" s="79" customFormat="1">
      <c r="A117" s="570"/>
      <c r="B117" s="818" t="s">
        <v>497</v>
      </c>
      <c r="C117" s="819"/>
      <c r="D117" s="571">
        <v>18.37</v>
      </c>
      <c r="E117" s="572"/>
      <c r="F117" s="573"/>
    </row>
    <row r="118" spans="1:11" s="79" customFormat="1">
      <c r="A118" s="538"/>
      <c r="B118" s="975" t="s">
        <v>498</v>
      </c>
      <c r="C118" s="976"/>
      <c r="D118" s="574">
        <v>3.12</v>
      </c>
      <c r="E118" s="575"/>
      <c r="F118" s="576"/>
    </row>
    <row r="119" spans="1:11" s="79" customFormat="1" ht="13.5" thickBot="1">
      <c r="A119" s="577"/>
      <c r="B119" s="977" t="s">
        <v>499</v>
      </c>
      <c r="C119" s="978"/>
      <c r="D119" s="578">
        <f>D117-D118</f>
        <v>15.25</v>
      </c>
      <c r="E119" s="579"/>
      <c r="F119" s="580"/>
    </row>
    <row r="120" spans="1:11" s="79" customFormat="1" ht="13.5" thickBot="1">
      <c r="A120" s="71">
        <v>4</v>
      </c>
      <c r="B120" s="826" t="s">
        <v>91</v>
      </c>
      <c r="C120" s="782"/>
      <c r="D120" s="782"/>
      <c r="E120" s="782"/>
      <c r="F120" s="783"/>
      <c r="G120" s="826"/>
      <c r="H120" s="782"/>
      <c r="I120" s="782"/>
      <c r="J120" s="782"/>
      <c r="K120" s="783"/>
    </row>
    <row r="121" spans="1:11" s="79" customFormat="1" ht="13.5" thickBot="1">
      <c r="A121" s="101" t="s">
        <v>92</v>
      </c>
      <c r="B121" s="827" t="s">
        <v>93</v>
      </c>
      <c r="C121" s="828"/>
      <c r="D121" s="828"/>
      <c r="E121" s="828"/>
      <c r="F121" s="829"/>
      <c r="G121" s="842"/>
      <c r="H121" s="843"/>
      <c r="I121" s="843"/>
      <c r="J121" s="843"/>
      <c r="K121" s="844"/>
    </row>
    <row r="122" spans="1:11" s="79" customFormat="1" ht="13.5" customHeight="1" thickBot="1">
      <c r="A122" s="504">
        <v>5651</v>
      </c>
      <c r="B122" s="845" t="s">
        <v>177</v>
      </c>
      <c r="C122" s="846"/>
      <c r="D122" s="846"/>
      <c r="E122" s="846"/>
      <c r="F122" s="846"/>
      <c r="G122" s="504" t="s">
        <v>488</v>
      </c>
      <c r="H122" s="850">
        <f>K125+K128+K130</f>
        <v>49.287999999999997</v>
      </c>
      <c r="I122" s="851"/>
      <c r="J122" s="851"/>
      <c r="K122" s="852"/>
    </row>
    <row r="123" spans="1:11" s="79" customFormat="1" ht="15">
      <c r="A123" s="514"/>
      <c r="B123" s="528" t="s">
        <v>475</v>
      </c>
      <c r="C123" s="529" t="s">
        <v>476</v>
      </c>
      <c r="D123" s="529" t="s">
        <v>119</v>
      </c>
      <c r="E123" s="529" t="s">
        <v>477</v>
      </c>
      <c r="F123" s="530" t="s">
        <v>478</v>
      </c>
      <c r="G123" s="531" t="s">
        <v>479</v>
      </c>
      <c r="H123" s="847"/>
      <c r="I123" s="848"/>
      <c r="J123" s="848"/>
      <c r="K123" s="849"/>
    </row>
    <row r="124" spans="1:11" s="79" customFormat="1" ht="15">
      <c r="A124" s="510" t="s">
        <v>480</v>
      </c>
      <c r="B124" s="532"/>
      <c r="C124" s="524"/>
      <c r="D124" s="524"/>
      <c r="E124" s="524"/>
      <c r="F124" s="524"/>
      <c r="G124" s="524"/>
      <c r="H124" s="533"/>
      <c r="I124" s="534"/>
      <c r="J124" s="534"/>
      <c r="K124" s="535"/>
    </row>
    <row r="125" spans="1:11" s="79" customFormat="1" ht="15">
      <c r="A125" s="514" t="s">
        <v>481</v>
      </c>
      <c r="B125" s="536">
        <v>0.6</v>
      </c>
      <c r="C125" s="525">
        <v>0.6</v>
      </c>
      <c r="D125" s="525">
        <v>0.3</v>
      </c>
      <c r="E125" s="524"/>
      <c r="F125" s="525">
        <v>4</v>
      </c>
      <c r="G125" s="525">
        <v>14</v>
      </c>
      <c r="H125" s="533"/>
      <c r="I125" s="534"/>
      <c r="J125" s="534"/>
      <c r="K125" s="535">
        <v>10.08</v>
      </c>
    </row>
    <row r="126" spans="1:11" s="79" customFormat="1" ht="15">
      <c r="A126" s="514"/>
      <c r="B126" s="537"/>
      <c r="C126" s="525"/>
      <c r="D126" s="525"/>
      <c r="E126" s="524"/>
      <c r="F126" s="524"/>
      <c r="G126" s="525"/>
      <c r="H126" s="533"/>
      <c r="I126" s="534"/>
      <c r="J126" s="534"/>
      <c r="K126" s="535"/>
    </row>
    <row r="127" spans="1:11" s="79" customFormat="1" ht="15">
      <c r="A127" s="510" t="s">
        <v>482</v>
      </c>
      <c r="B127" s="523"/>
      <c r="C127" s="524"/>
      <c r="D127" s="525"/>
      <c r="E127" s="524"/>
      <c r="F127" s="525"/>
      <c r="G127" s="525"/>
      <c r="H127" s="533"/>
      <c r="I127" s="534"/>
      <c r="J127" s="534"/>
      <c r="K127" s="535"/>
    </row>
    <row r="128" spans="1:11" s="79" customFormat="1" ht="15">
      <c r="A128" s="514" t="s">
        <v>483</v>
      </c>
      <c r="B128" s="525">
        <v>0.3</v>
      </c>
      <c r="C128" s="525">
        <v>0.1</v>
      </c>
      <c r="D128" s="525">
        <v>0.7</v>
      </c>
      <c r="E128" s="524"/>
      <c r="F128" s="525">
        <v>2</v>
      </c>
      <c r="G128" s="525">
        <v>14</v>
      </c>
      <c r="H128" s="533">
        <v>5.88</v>
      </c>
      <c r="I128" s="534">
        <v>1.9599999999999997</v>
      </c>
      <c r="J128" s="534"/>
      <c r="K128" s="535">
        <v>7.84</v>
      </c>
    </row>
    <row r="129" spans="1:11" s="79" customFormat="1" ht="15">
      <c r="A129" s="510" t="s">
        <v>484</v>
      </c>
      <c r="B129" s="523"/>
      <c r="C129" s="524"/>
      <c r="D129" s="525"/>
      <c r="E129" s="524"/>
      <c r="F129" s="525"/>
      <c r="G129" s="525"/>
      <c r="H129" s="533"/>
      <c r="I129" s="534"/>
      <c r="J129" s="534"/>
      <c r="K129" s="535"/>
    </row>
    <row r="130" spans="1:11" s="79" customFormat="1" ht="15.75" thickBot="1">
      <c r="A130" s="514" t="s">
        <v>485</v>
      </c>
      <c r="B130" s="525">
        <v>52.279999999999994</v>
      </c>
      <c r="C130" s="525">
        <v>0</v>
      </c>
      <c r="D130" s="525">
        <v>0.3</v>
      </c>
      <c r="E130" s="524"/>
      <c r="F130" s="525">
        <v>2</v>
      </c>
      <c r="G130" s="525">
        <v>1</v>
      </c>
      <c r="H130" s="533">
        <v>31.367999999999995</v>
      </c>
      <c r="I130" s="534">
        <v>0</v>
      </c>
      <c r="J130" s="534"/>
      <c r="K130" s="535">
        <v>31.367999999999995</v>
      </c>
    </row>
    <row r="131" spans="1:11" s="79" customFormat="1" ht="29.25" customHeight="1" thickBot="1">
      <c r="A131" s="460">
        <v>6042</v>
      </c>
      <c r="B131" s="965" t="s">
        <v>176</v>
      </c>
      <c r="C131" s="965"/>
      <c r="D131" s="965"/>
      <c r="E131" s="553" t="s">
        <v>82</v>
      </c>
      <c r="F131" s="554">
        <f>F134+F136</f>
        <v>0.51340000000000008</v>
      </c>
    </row>
    <row r="132" spans="1:11" s="79" customFormat="1">
      <c r="A132" s="505"/>
      <c r="B132" s="506" t="s">
        <v>84</v>
      </c>
      <c r="C132" s="507" t="s">
        <v>94</v>
      </c>
      <c r="D132" s="508" t="s">
        <v>95</v>
      </c>
      <c r="E132" s="508" t="s">
        <v>23</v>
      </c>
      <c r="F132" s="509" t="s">
        <v>13</v>
      </c>
    </row>
    <row r="133" spans="1:11" s="79" customFormat="1">
      <c r="A133" s="510" t="s">
        <v>480</v>
      </c>
      <c r="B133" s="511"/>
      <c r="C133" s="512"/>
      <c r="D133" s="512"/>
      <c r="E133" s="512"/>
      <c r="F133" s="513"/>
    </row>
    <row r="134" spans="1:11" s="79" customFormat="1">
      <c r="A134" s="514" t="s">
        <v>481</v>
      </c>
      <c r="B134" s="526">
        <v>0.6</v>
      </c>
      <c r="C134" s="527">
        <v>0.6</v>
      </c>
      <c r="D134" s="527">
        <v>0.05</v>
      </c>
      <c r="E134" s="527">
        <v>14</v>
      </c>
      <c r="F134" s="527">
        <f>B134*C134*D134*E134</f>
        <v>0.252</v>
      </c>
      <c r="G134" s="503"/>
    </row>
    <row r="135" spans="1:11" s="79" customFormat="1" ht="12.75" customHeight="1">
      <c r="A135" s="510" t="s">
        <v>484</v>
      </c>
      <c r="B135" s="519"/>
      <c r="C135" s="519"/>
      <c r="D135" s="520"/>
      <c r="E135" s="519"/>
      <c r="F135" s="521"/>
    </row>
    <row r="136" spans="1:11" s="79" customFormat="1" ht="13.5" thickBot="1">
      <c r="A136" s="514" t="s">
        <v>485</v>
      </c>
      <c r="B136" s="511">
        <v>52.28</v>
      </c>
      <c r="C136" s="522">
        <v>0.1</v>
      </c>
      <c r="D136" s="522">
        <v>0.05</v>
      </c>
      <c r="E136" s="522"/>
      <c r="F136" s="513">
        <f>B136*C136*D136</f>
        <v>0.26140000000000002</v>
      </c>
    </row>
    <row r="137" spans="1:11" s="79" customFormat="1" ht="26.25" customHeight="1" thickBot="1">
      <c r="A137" s="460" t="s">
        <v>170</v>
      </c>
      <c r="B137" s="965" t="s">
        <v>175</v>
      </c>
      <c r="C137" s="965"/>
      <c r="D137" s="965"/>
      <c r="E137" s="553" t="s">
        <v>82</v>
      </c>
      <c r="F137" s="554">
        <f>F140+F142+F144</f>
        <v>3.1224000000000003</v>
      </c>
    </row>
    <row r="138" spans="1:11" s="79" customFormat="1">
      <c r="A138" s="505" t="s">
        <v>83</v>
      </c>
      <c r="B138" s="506" t="s">
        <v>84</v>
      </c>
      <c r="C138" s="507" t="s">
        <v>94</v>
      </c>
      <c r="D138" s="508" t="s">
        <v>95</v>
      </c>
      <c r="E138" s="508" t="s">
        <v>23</v>
      </c>
      <c r="F138" s="509" t="s">
        <v>13</v>
      </c>
    </row>
    <row r="139" spans="1:11" s="79" customFormat="1">
      <c r="A139" s="510" t="s">
        <v>480</v>
      </c>
      <c r="B139" s="511"/>
      <c r="C139" s="512"/>
      <c r="D139" s="512"/>
      <c r="E139" s="512"/>
      <c r="F139" s="513"/>
    </row>
    <row r="140" spans="1:11" s="79" customFormat="1">
      <c r="A140" s="514" t="s">
        <v>481</v>
      </c>
      <c r="B140" s="515">
        <v>0.6</v>
      </c>
      <c r="C140" s="516">
        <v>0.6</v>
      </c>
      <c r="D140" s="516">
        <v>0.25</v>
      </c>
      <c r="E140" s="516">
        <v>14</v>
      </c>
      <c r="F140" s="516">
        <f>B140*C140*D140*E140</f>
        <v>1.26</v>
      </c>
    </row>
    <row r="141" spans="1:11" s="79" customFormat="1">
      <c r="A141" s="510" t="s">
        <v>482</v>
      </c>
      <c r="B141" s="517"/>
      <c r="C141" s="518"/>
      <c r="D141" s="518"/>
      <c r="E141" s="518"/>
      <c r="F141" s="518"/>
    </row>
    <row r="142" spans="1:11" s="79" customFormat="1">
      <c r="A142" s="514" t="s">
        <v>483</v>
      </c>
      <c r="B142" s="517">
        <v>0.3</v>
      </c>
      <c r="C142" s="518">
        <v>0.1</v>
      </c>
      <c r="D142" s="518">
        <v>0.7</v>
      </c>
      <c r="E142" s="518">
        <v>14</v>
      </c>
      <c r="F142" s="518">
        <f>B142*C142*D142*E142</f>
        <v>0.29399999999999998</v>
      </c>
    </row>
    <row r="143" spans="1:11" s="79" customFormat="1" ht="12" customHeight="1">
      <c r="A143" s="510" t="s">
        <v>484</v>
      </c>
      <c r="B143" s="519"/>
      <c r="C143" s="519"/>
      <c r="D143" s="520"/>
      <c r="E143" s="519"/>
      <c r="F143" s="521"/>
    </row>
    <row r="144" spans="1:11" s="79" customFormat="1" ht="13.5" thickBot="1">
      <c r="A144" s="514" t="s">
        <v>485</v>
      </c>
      <c r="B144" s="511">
        <v>52.28</v>
      </c>
      <c r="C144" s="522">
        <v>0.1</v>
      </c>
      <c r="D144" s="522">
        <v>0.3</v>
      </c>
      <c r="E144" s="522"/>
      <c r="F144" s="513">
        <f>B144*C144*D144</f>
        <v>1.5684000000000002</v>
      </c>
    </row>
    <row r="145" spans="1:7" s="79" customFormat="1" ht="27" customHeight="1" thickBot="1">
      <c r="A145" s="72" t="s">
        <v>171</v>
      </c>
      <c r="B145" s="784" t="s">
        <v>173</v>
      </c>
      <c r="C145" s="784"/>
      <c r="D145" s="784"/>
      <c r="E145" s="73" t="s">
        <v>10</v>
      </c>
      <c r="F145" s="74">
        <f>G148+G150+G152</f>
        <v>144.5384</v>
      </c>
    </row>
    <row r="146" spans="1:7" s="79" customFormat="1">
      <c r="A146" s="505" t="s">
        <v>83</v>
      </c>
      <c r="B146" s="506" t="s">
        <v>84</v>
      </c>
      <c r="C146" s="507" t="s">
        <v>146</v>
      </c>
      <c r="D146" s="508" t="s">
        <v>147</v>
      </c>
      <c r="E146" s="508" t="s">
        <v>148</v>
      </c>
      <c r="F146" s="547" t="s">
        <v>490</v>
      </c>
      <c r="G146" s="548" t="s">
        <v>13</v>
      </c>
    </row>
    <row r="147" spans="1:7" s="79" customFormat="1">
      <c r="A147" s="510" t="s">
        <v>480</v>
      </c>
      <c r="B147" s="511"/>
      <c r="C147" s="512"/>
      <c r="D147" s="512"/>
      <c r="E147" s="512"/>
      <c r="F147" s="512"/>
      <c r="G147" s="548"/>
    </row>
    <row r="148" spans="1:7" s="79" customFormat="1">
      <c r="A148" s="514" t="s">
        <v>481</v>
      </c>
      <c r="B148" s="511">
        <v>0.7</v>
      </c>
      <c r="C148" s="522" t="s">
        <v>489</v>
      </c>
      <c r="D148" s="546">
        <v>0.39500000000000002</v>
      </c>
      <c r="E148" s="512">
        <v>12</v>
      </c>
      <c r="F148" s="512">
        <v>14</v>
      </c>
      <c r="G148" s="549">
        <f>B148*E148*F148*D148</f>
        <v>46.451999999999991</v>
      </c>
    </row>
    <row r="149" spans="1:7" s="79" customFormat="1" ht="13.5" customHeight="1">
      <c r="A149" s="510" t="s">
        <v>482</v>
      </c>
      <c r="B149" s="519"/>
      <c r="C149" s="519"/>
      <c r="D149" s="540"/>
      <c r="E149" s="520"/>
      <c r="F149" s="511"/>
      <c r="G149" s="548"/>
    </row>
    <row r="150" spans="1:7" s="79" customFormat="1">
      <c r="A150" s="514" t="s">
        <v>483</v>
      </c>
      <c r="B150" s="511">
        <v>0.7</v>
      </c>
      <c r="C150" s="522" t="s">
        <v>489</v>
      </c>
      <c r="D150" s="546">
        <v>0.39500000000000002</v>
      </c>
      <c r="E150" s="512">
        <v>4</v>
      </c>
      <c r="F150" s="512">
        <v>14</v>
      </c>
      <c r="G150" s="520">
        <f>B150*E150*D150*F150</f>
        <v>15.483999999999998</v>
      </c>
    </row>
    <row r="151" spans="1:7" s="79" customFormat="1">
      <c r="A151" s="510" t="s">
        <v>484</v>
      </c>
      <c r="B151" s="541"/>
      <c r="C151" s="541"/>
      <c r="D151" s="542"/>
      <c r="E151" s="543"/>
      <c r="F151" s="511"/>
      <c r="G151" s="548"/>
    </row>
    <row r="152" spans="1:7" s="79" customFormat="1">
      <c r="A152" s="514" t="s">
        <v>485</v>
      </c>
      <c r="B152" s="511">
        <v>52.28</v>
      </c>
      <c r="C152" s="522" t="s">
        <v>489</v>
      </c>
      <c r="D152" s="546">
        <v>0.39500000000000002</v>
      </c>
      <c r="E152" s="551">
        <v>4</v>
      </c>
      <c r="F152" s="550">
        <v>1</v>
      </c>
      <c r="G152" s="520">
        <f>B152*E152*D152*F152</f>
        <v>82.602400000000003</v>
      </c>
    </row>
    <row r="153" spans="1:7" s="79" customFormat="1" ht="13.5" thickBot="1">
      <c r="A153" s="539"/>
      <c r="B153" s="838"/>
      <c r="C153" s="839"/>
      <c r="D153" s="839"/>
      <c r="E153" s="840"/>
      <c r="F153" s="841"/>
      <c r="G153" s="552"/>
    </row>
    <row r="154" spans="1:7" s="79" customFormat="1" ht="26.25" customHeight="1" thickBot="1">
      <c r="A154" s="72" t="s">
        <v>172</v>
      </c>
      <c r="B154" s="784" t="s">
        <v>174</v>
      </c>
      <c r="C154" s="784"/>
      <c r="D154" s="784"/>
      <c r="E154" s="73" t="s">
        <v>10</v>
      </c>
      <c r="F154" s="74">
        <f>G157+G159</f>
        <v>36.093242666666669</v>
      </c>
    </row>
    <row r="155" spans="1:7" s="79" customFormat="1">
      <c r="A155" s="276" t="s">
        <v>83</v>
      </c>
      <c r="B155" s="90" t="s">
        <v>84</v>
      </c>
      <c r="C155" s="102" t="s">
        <v>146</v>
      </c>
      <c r="D155" s="75" t="s">
        <v>147</v>
      </c>
      <c r="E155" s="75" t="s">
        <v>148</v>
      </c>
      <c r="F155" s="95" t="s">
        <v>13</v>
      </c>
    </row>
    <row r="156" spans="1:7" s="79" customFormat="1">
      <c r="A156" s="510" t="s">
        <v>482</v>
      </c>
      <c r="B156" s="544" t="s">
        <v>491</v>
      </c>
      <c r="C156" s="519"/>
      <c r="D156" s="540"/>
      <c r="E156" s="520"/>
      <c r="F156" s="511"/>
      <c r="G156" s="548"/>
    </row>
    <row r="157" spans="1:7" s="79" customFormat="1">
      <c r="A157" s="514" t="s">
        <v>483</v>
      </c>
      <c r="B157" s="511">
        <f>0.3+0.3+0.1+0.1</f>
        <v>0.79999999999999993</v>
      </c>
      <c r="C157" s="522" t="s">
        <v>493</v>
      </c>
      <c r="D157" s="546">
        <v>0.109</v>
      </c>
      <c r="E157" s="512">
        <v>4.67</v>
      </c>
      <c r="F157" s="512">
        <v>14</v>
      </c>
      <c r="G157" s="520">
        <f>B157*E157*D157*F157</f>
        <v>5.701136</v>
      </c>
    </row>
    <row r="158" spans="1:7" s="79" customFormat="1">
      <c r="A158" s="510" t="s">
        <v>484</v>
      </c>
      <c r="B158" s="541" t="s">
        <v>492</v>
      </c>
      <c r="C158" s="541"/>
      <c r="D158" s="542"/>
      <c r="E158" s="543"/>
      <c r="F158" s="511"/>
      <c r="G158" s="548"/>
    </row>
    <row r="159" spans="1:7" s="79" customFormat="1">
      <c r="A159" s="514" t="s">
        <v>485</v>
      </c>
      <c r="B159" s="511">
        <v>0.8</v>
      </c>
      <c r="C159" s="522" t="s">
        <v>493</v>
      </c>
      <c r="D159" s="546">
        <v>0.109</v>
      </c>
      <c r="E159" s="551">
        <f>52.28/0.15</f>
        <v>348.53333333333336</v>
      </c>
      <c r="F159" s="550">
        <v>1</v>
      </c>
      <c r="G159" s="520">
        <f>B159*E159*D159*F159</f>
        <v>30.39210666666667</v>
      </c>
    </row>
    <row r="160" spans="1:7" s="79" customFormat="1" ht="13.5" thickBot="1">
      <c r="A160" s="539"/>
      <c r="B160" s="838"/>
      <c r="C160" s="839"/>
      <c r="D160" s="839"/>
      <c r="E160" s="840"/>
      <c r="F160" s="841"/>
      <c r="G160" s="552"/>
    </row>
    <row r="161" spans="1:7" s="79" customFormat="1" ht="13.5" thickBot="1">
      <c r="A161" s="105" t="s">
        <v>96</v>
      </c>
      <c r="B161" s="827" t="s">
        <v>97</v>
      </c>
      <c r="C161" s="828"/>
      <c r="D161" s="828"/>
      <c r="E161" s="828"/>
      <c r="F161" s="829"/>
    </row>
    <row r="162" spans="1:7" s="79" customFormat="1" ht="27" customHeight="1" thickBot="1">
      <c r="A162" s="72" t="s">
        <v>170</v>
      </c>
      <c r="B162" s="784" t="s">
        <v>175</v>
      </c>
      <c r="C162" s="784"/>
      <c r="D162" s="784"/>
      <c r="E162" s="73" t="s">
        <v>82</v>
      </c>
      <c r="F162" s="74">
        <f>F165+F167</f>
        <v>2.8704000000000001</v>
      </c>
    </row>
    <row r="163" spans="1:7" s="79" customFormat="1">
      <c r="A163" s="276" t="s">
        <v>83</v>
      </c>
      <c r="B163" s="90" t="s">
        <v>84</v>
      </c>
      <c r="C163" s="102" t="s">
        <v>94</v>
      </c>
      <c r="D163" s="75" t="s">
        <v>95</v>
      </c>
      <c r="E163" s="75" t="s">
        <v>23</v>
      </c>
      <c r="F163" s="95" t="s">
        <v>13</v>
      </c>
    </row>
    <row r="164" spans="1:7" s="79" customFormat="1">
      <c r="A164" s="510" t="s">
        <v>486</v>
      </c>
      <c r="B164" s="517"/>
      <c r="C164" s="518"/>
      <c r="D164" s="518"/>
      <c r="E164" s="518"/>
      <c r="F164" s="518"/>
    </row>
    <row r="165" spans="1:7" s="79" customFormat="1">
      <c r="A165" s="514" t="s">
        <v>483</v>
      </c>
      <c r="B165" s="517">
        <v>0.3</v>
      </c>
      <c r="C165" s="518">
        <v>0.1</v>
      </c>
      <c r="D165" s="518">
        <v>3.1</v>
      </c>
      <c r="E165" s="518">
        <v>14</v>
      </c>
      <c r="F165" s="518">
        <f>B165*C165*D165*E165</f>
        <v>1.302</v>
      </c>
    </row>
    <row r="166" spans="1:7" s="79" customFormat="1">
      <c r="A166" s="510" t="s">
        <v>487</v>
      </c>
      <c r="B166" s="506"/>
      <c r="C166" s="507"/>
      <c r="D166" s="555"/>
      <c r="E166" s="508"/>
      <c r="F166" s="556"/>
    </row>
    <row r="167" spans="1:7" s="79" customFormat="1" ht="13.5" thickBot="1">
      <c r="A167" s="514" t="s">
        <v>485</v>
      </c>
      <c r="B167" s="511">
        <v>52.28</v>
      </c>
      <c r="C167" s="512">
        <v>0.1</v>
      </c>
      <c r="D167" s="512">
        <v>0.3</v>
      </c>
      <c r="E167" s="512"/>
      <c r="F167" s="513">
        <f>B167*C167*D167</f>
        <v>1.5684000000000002</v>
      </c>
    </row>
    <row r="168" spans="1:7" s="79" customFormat="1" ht="27" customHeight="1" thickBot="1">
      <c r="A168" s="72" t="s">
        <v>171</v>
      </c>
      <c r="B168" s="784" t="s">
        <v>173</v>
      </c>
      <c r="C168" s="784"/>
      <c r="D168" s="784"/>
      <c r="E168" s="73" t="s">
        <v>10</v>
      </c>
      <c r="F168" s="74">
        <f>G171+G173</f>
        <v>151.17439999999999</v>
      </c>
    </row>
    <row r="169" spans="1:7" s="79" customFormat="1">
      <c r="A169" s="276" t="s">
        <v>83</v>
      </c>
      <c r="B169" s="90" t="s">
        <v>84</v>
      </c>
      <c r="C169" s="102" t="s">
        <v>146</v>
      </c>
      <c r="D169" s="75" t="s">
        <v>147</v>
      </c>
      <c r="E169" s="75" t="s">
        <v>148</v>
      </c>
      <c r="F169" s="95" t="s">
        <v>495</v>
      </c>
    </row>
    <row r="170" spans="1:7" s="79" customFormat="1">
      <c r="A170" s="510" t="s">
        <v>486</v>
      </c>
      <c r="B170" s="519"/>
      <c r="C170" s="544" t="s">
        <v>489</v>
      </c>
      <c r="D170" s="540"/>
      <c r="E170" s="520"/>
      <c r="F170" s="511"/>
      <c r="G170" s="548"/>
    </row>
    <row r="171" spans="1:7" s="79" customFormat="1">
      <c r="A171" s="514" t="s">
        <v>483</v>
      </c>
      <c r="B171" s="511">
        <v>3.1</v>
      </c>
      <c r="C171" s="522"/>
      <c r="D171" s="546">
        <v>0.39500000000000002</v>
      </c>
      <c r="E171" s="512">
        <v>4</v>
      </c>
      <c r="F171" s="512">
        <v>14</v>
      </c>
      <c r="G171" s="520">
        <f>B171*E171*D171*F171</f>
        <v>68.572000000000003</v>
      </c>
    </row>
    <row r="172" spans="1:7" s="79" customFormat="1">
      <c r="A172" s="510" t="s">
        <v>487</v>
      </c>
      <c r="B172" s="544"/>
      <c r="C172" s="544" t="s">
        <v>489</v>
      </c>
      <c r="D172" s="542"/>
      <c r="E172" s="545"/>
      <c r="F172" s="511"/>
      <c r="G172" s="548"/>
    </row>
    <row r="173" spans="1:7" s="79" customFormat="1" ht="13.5" thickBot="1">
      <c r="A173" s="514" t="s">
        <v>485</v>
      </c>
      <c r="B173" s="511">
        <v>52.28</v>
      </c>
      <c r="C173" s="512"/>
      <c r="D173" s="546">
        <v>0.39500000000000002</v>
      </c>
      <c r="E173" s="512">
        <v>4</v>
      </c>
      <c r="F173" s="512"/>
      <c r="G173" s="557">
        <f>B173*E173*D173</f>
        <v>82.602400000000003</v>
      </c>
    </row>
    <row r="174" spans="1:7" s="79" customFormat="1" ht="27" customHeight="1" thickBot="1">
      <c r="A174" s="72" t="s">
        <v>172</v>
      </c>
      <c r="B174" s="784" t="s">
        <v>174</v>
      </c>
      <c r="C174" s="784"/>
      <c r="D174" s="784"/>
      <c r="E174" s="73" t="s">
        <v>10</v>
      </c>
      <c r="F174" s="74">
        <f>G177+G179</f>
        <v>55.621973333333329</v>
      </c>
    </row>
    <row r="175" spans="1:7" s="79" customFormat="1">
      <c r="A175" s="276" t="s">
        <v>83</v>
      </c>
      <c r="B175" s="90" t="s">
        <v>84</v>
      </c>
      <c r="C175" s="102" t="s">
        <v>146</v>
      </c>
      <c r="D175" s="75" t="s">
        <v>147</v>
      </c>
      <c r="E175" s="75" t="s">
        <v>148</v>
      </c>
      <c r="F175" s="95" t="s">
        <v>495</v>
      </c>
    </row>
    <row r="176" spans="1:7" s="79" customFormat="1">
      <c r="A176" s="510" t="s">
        <v>486</v>
      </c>
      <c r="B176" s="511" t="s">
        <v>494</v>
      </c>
      <c r="C176" s="512" t="s">
        <v>493</v>
      </c>
      <c r="D176" s="512"/>
      <c r="E176" s="512"/>
      <c r="F176" s="513"/>
      <c r="G176" s="552"/>
    </row>
    <row r="177" spans="1:11" s="79" customFormat="1">
      <c r="A177" s="514" t="s">
        <v>483</v>
      </c>
      <c r="B177" s="564">
        <f>0.3+0.3+0.1+0.1</f>
        <v>0.79999999999999993</v>
      </c>
      <c r="C177" s="558"/>
      <c r="D177" s="562">
        <v>0.109</v>
      </c>
      <c r="E177" s="563">
        <f>3.1/0.15</f>
        <v>20.666666666666668</v>
      </c>
      <c r="F177" s="565">
        <v>14</v>
      </c>
      <c r="G177" s="552">
        <f>B177*D177*E177*F177</f>
        <v>25.229866666666663</v>
      </c>
    </row>
    <row r="178" spans="1:11" s="79" customFormat="1">
      <c r="A178" s="510" t="s">
        <v>487</v>
      </c>
      <c r="B178" s="560" t="s">
        <v>492</v>
      </c>
      <c r="C178" s="560" t="s">
        <v>493</v>
      </c>
      <c r="D178" s="561"/>
      <c r="E178" s="507"/>
      <c r="F178" s="521"/>
      <c r="G178" s="552"/>
    </row>
    <row r="179" spans="1:11" s="79" customFormat="1" ht="13.5" thickBot="1">
      <c r="A179" s="514" t="s">
        <v>485</v>
      </c>
      <c r="B179" s="564">
        <v>0.8</v>
      </c>
      <c r="C179" s="558"/>
      <c r="D179" s="562">
        <v>0.109</v>
      </c>
      <c r="E179" s="563">
        <f>52.28/0.15</f>
        <v>348.53333333333336</v>
      </c>
      <c r="F179" s="559"/>
      <c r="G179" s="566">
        <f>B179*D179*E179</f>
        <v>30.39210666666667</v>
      </c>
    </row>
    <row r="180" spans="1:11" s="79" customFormat="1" ht="39" customHeight="1" thickBot="1">
      <c r="A180" s="72">
        <v>84216</v>
      </c>
      <c r="B180" s="784" t="s">
        <v>496</v>
      </c>
      <c r="C180" s="784"/>
      <c r="D180" s="784"/>
      <c r="E180" s="73" t="s">
        <v>98</v>
      </c>
      <c r="F180" s="74">
        <f>K183+K185</f>
        <v>66.087999999999994</v>
      </c>
    </row>
    <row r="181" spans="1:11" s="79" customFormat="1">
      <c r="A181" s="276" t="s">
        <v>83</v>
      </c>
      <c r="B181" s="90" t="s">
        <v>84</v>
      </c>
      <c r="C181" s="102" t="s">
        <v>90</v>
      </c>
      <c r="D181" s="75" t="s">
        <v>150</v>
      </c>
      <c r="E181" s="75" t="s">
        <v>23</v>
      </c>
      <c r="F181" s="95" t="s">
        <v>13</v>
      </c>
    </row>
    <row r="182" spans="1:11" s="79" customFormat="1" ht="15">
      <c r="A182" s="510" t="s">
        <v>486</v>
      </c>
      <c r="B182" s="523"/>
      <c r="C182" s="524"/>
      <c r="D182" s="525"/>
      <c r="E182" s="524"/>
      <c r="F182" s="525"/>
      <c r="G182" s="525"/>
      <c r="H182" s="533"/>
      <c r="I182" s="534"/>
      <c r="J182" s="534"/>
      <c r="K182" s="535"/>
    </row>
    <row r="183" spans="1:11" s="79" customFormat="1" ht="15">
      <c r="A183" s="514" t="s">
        <v>483</v>
      </c>
      <c r="B183" s="525">
        <v>0.3</v>
      </c>
      <c r="C183" s="525">
        <v>0.1</v>
      </c>
      <c r="D183" s="525">
        <v>3.1</v>
      </c>
      <c r="E183" s="524"/>
      <c r="F183" s="525">
        <v>2</v>
      </c>
      <c r="G183" s="525">
        <v>14</v>
      </c>
      <c r="H183" s="533">
        <v>26.04</v>
      </c>
      <c r="I183" s="534">
        <v>8.6800000000000015</v>
      </c>
      <c r="J183" s="534"/>
      <c r="K183" s="535">
        <v>34.72</v>
      </c>
    </row>
    <row r="184" spans="1:11" s="79" customFormat="1" ht="15">
      <c r="A184" s="510" t="s">
        <v>487</v>
      </c>
      <c r="B184" s="523"/>
      <c r="C184" s="524"/>
      <c r="D184" s="525"/>
      <c r="E184" s="524"/>
      <c r="F184" s="525"/>
      <c r="G184" s="525"/>
      <c r="H184" s="533"/>
      <c r="I184" s="534"/>
      <c r="J184" s="534"/>
      <c r="K184" s="535"/>
    </row>
    <row r="185" spans="1:11" s="79" customFormat="1" ht="15.75" thickBot="1">
      <c r="A185" s="610" t="s">
        <v>485</v>
      </c>
      <c r="B185" s="611">
        <v>52.279999999999994</v>
      </c>
      <c r="C185" s="611">
        <v>0</v>
      </c>
      <c r="D185" s="611">
        <v>0.3</v>
      </c>
      <c r="E185" s="612"/>
      <c r="F185" s="611">
        <v>2</v>
      </c>
      <c r="G185" s="525">
        <v>1</v>
      </c>
      <c r="H185" s="533">
        <v>31.367999999999995</v>
      </c>
      <c r="I185" s="534">
        <v>0</v>
      </c>
      <c r="J185" s="534"/>
      <c r="K185" s="535">
        <v>31.367999999999995</v>
      </c>
    </row>
    <row r="186" spans="1:11" s="79" customFormat="1" ht="71.25" customHeight="1">
      <c r="A186" s="616" t="s">
        <v>530</v>
      </c>
      <c r="B186" s="936" t="s">
        <v>531</v>
      </c>
      <c r="C186" s="937"/>
      <c r="D186" s="938"/>
      <c r="E186" s="618" t="s">
        <v>98</v>
      </c>
      <c r="F186" s="617">
        <v>20.78</v>
      </c>
      <c r="G186" s="605" t="s">
        <v>521</v>
      </c>
      <c r="H186" s="607"/>
      <c r="I186" s="608"/>
      <c r="J186" s="608"/>
      <c r="K186" s="609"/>
    </row>
    <row r="187" spans="1:11" s="79" customFormat="1" ht="15">
      <c r="A187" s="613"/>
      <c r="B187" s="615" t="s">
        <v>532</v>
      </c>
      <c r="C187" s="615">
        <f>5.86*3+3.2</f>
        <v>20.78</v>
      </c>
      <c r="D187" s="615"/>
      <c r="E187" s="614"/>
      <c r="F187" s="615"/>
      <c r="G187" s="605"/>
      <c r="H187" s="607"/>
      <c r="I187" s="608"/>
      <c r="J187" s="608"/>
      <c r="K187" s="609"/>
    </row>
    <row r="188" spans="1:11" s="79" customFormat="1" ht="15">
      <c r="A188" s="604"/>
      <c r="B188" s="605"/>
      <c r="C188" s="605"/>
      <c r="D188" s="605"/>
      <c r="E188" s="606"/>
      <c r="F188" s="605"/>
      <c r="G188" s="605"/>
      <c r="H188" s="607"/>
      <c r="I188" s="608"/>
      <c r="J188" s="608"/>
      <c r="K188" s="609"/>
    </row>
    <row r="189" spans="1:11" s="79" customFormat="1" ht="13.5" thickBot="1">
      <c r="A189" s="288"/>
      <c r="B189" s="567"/>
      <c r="C189" s="568"/>
      <c r="D189" s="568"/>
      <c r="E189" s="569"/>
      <c r="F189" s="289"/>
    </row>
    <row r="190" spans="1:11" s="79" customFormat="1" ht="13.5" thickBot="1">
      <c r="A190" s="71">
        <v>5</v>
      </c>
      <c r="B190" s="826" t="s">
        <v>62</v>
      </c>
      <c r="C190" s="782"/>
      <c r="D190" s="782"/>
      <c r="E190" s="782"/>
      <c r="F190" s="783"/>
    </row>
    <row r="191" spans="1:11" s="79" customFormat="1" ht="39.75" customHeight="1" thickBot="1">
      <c r="A191" s="72" t="s">
        <v>178</v>
      </c>
      <c r="B191" s="814" t="s">
        <v>179</v>
      </c>
      <c r="C191" s="815"/>
      <c r="D191" s="816"/>
      <c r="E191" s="73" t="s">
        <v>99</v>
      </c>
      <c r="F191" s="74">
        <f>ROUNDDOWN(E194+E195+E196+E198+E199+E200+E201+E202+E204+E205+E207+E209+E211+E212+E214+E215+E216+E218+E219+E221+E222+E224+E225+E227+E228,2)</f>
        <v>125.5</v>
      </c>
    </row>
    <row r="192" spans="1:11" s="79" customFormat="1" ht="27.75" customHeight="1">
      <c r="A192" s="275" t="s">
        <v>83</v>
      </c>
      <c r="B192" s="75" t="s">
        <v>84</v>
      </c>
      <c r="C192" s="644" t="s">
        <v>23</v>
      </c>
      <c r="D192" s="626" t="s">
        <v>100</v>
      </c>
      <c r="E192" s="75" t="s">
        <v>13</v>
      </c>
      <c r="F192" s="107"/>
    </row>
    <row r="193" spans="1:6" s="79" customFormat="1">
      <c r="A193" s="386" t="s">
        <v>322</v>
      </c>
      <c r="B193" s="914"/>
      <c r="C193" s="915"/>
      <c r="D193" s="916"/>
      <c r="E193" s="103"/>
      <c r="F193" s="109"/>
    </row>
    <row r="194" spans="1:6" s="79" customFormat="1">
      <c r="A194" s="287" t="s">
        <v>114</v>
      </c>
      <c r="B194" s="277">
        <v>1.6</v>
      </c>
      <c r="C194" s="110">
        <v>2</v>
      </c>
      <c r="D194" s="111">
        <v>0.4</v>
      </c>
      <c r="E194" s="112">
        <f>ROUNDDOWN((B194+D194)*C194*2,2)</f>
        <v>8</v>
      </c>
      <c r="F194" s="109"/>
    </row>
    <row r="195" spans="1:6" s="79" customFormat="1">
      <c r="A195" s="287" t="s">
        <v>115</v>
      </c>
      <c r="B195" s="277">
        <v>2</v>
      </c>
      <c r="C195" s="110">
        <v>2</v>
      </c>
      <c r="D195" s="111">
        <v>0.4</v>
      </c>
      <c r="E195" s="112">
        <f>ROUNDDOWN((B195+D195)*C195*2,2)</f>
        <v>9.6</v>
      </c>
      <c r="F195" s="109"/>
    </row>
    <row r="196" spans="1:6" s="79" customFormat="1" ht="13.5" thickBot="1">
      <c r="A196" s="417" t="s">
        <v>101</v>
      </c>
      <c r="B196" s="405">
        <v>0.9</v>
      </c>
      <c r="C196" s="341">
        <v>1</v>
      </c>
      <c r="D196" s="216">
        <v>0.4</v>
      </c>
      <c r="E196" s="418">
        <f>B196+D196</f>
        <v>1.3</v>
      </c>
      <c r="F196" s="217"/>
    </row>
    <row r="197" spans="1:6" s="79" customFormat="1" ht="25.5">
      <c r="A197" s="419" t="s">
        <v>323</v>
      </c>
      <c r="B197" s="796"/>
      <c r="C197" s="921"/>
      <c r="D197" s="797"/>
      <c r="E197" s="420"/>
      <c r="F197" s="421"/>
    </row>
    <row r="198" spans="1:6" s="79" customFormat="1">
      <c r="A198" s="287" t="s">
        <v>325</v>
      </c>
      <c r="B198" s="403">
        <v>1.25</v>
      </c>
      <c r="C198" s="114">
        <v>1</v>
      </c>
      <c r="D198" s="111">
        <v>0.4</v>
      </c>
      <c r="E198" s="112">
        <f>ROUNDDOWN((B198+D198)*C198*2,2)</f>
        <v>3.3</v>
      </c>
      <c r="F198" s="131"/>
    </row>
    <row r="199" spans="1:6" s="79" customFormat="1" ht="13.5" thickBot="1">
      <c r="A199" s="417" t="s">
        <v>101</v>
      </c>
      <c r="B199" s="405">
        <v>0.8</v>
      </c>
      <c r="C199" s="341">
        <v>1</v>
      </c>
      <c r="D199" s="216">
        <v>0.4</v>
      </c>
      <c r="E199" s="418">
        <f>B199+D199</f>
        <v>1.2000000000000002</v>
      </c>
      <c r="F199" s="217"/>
    </row>
    <row r="200" spans="1:6" s="79" customFormat="1" ht="25.5">
      <c r="A200" s="423" t="s">
        <v>324</v>
      </c>
      <c r="B200" s="830"/>
      <c r="C200" s="831"/>
      <c r="D200" s="832"/>
      <c r="E200" s="424"/>
      <c r="F200" s="425"/>
    </row>
    <row r="201" spans="1:6" s="79" customFormat="1">
      <c r="A201" s="287" t="s">
        <v>325</v>
      </c>
      <c r="B201" s="403">
        <v>1.25</v>
      </c>
      <c r="C201" s="114">
        <v>1</v>
      </c>
      <c r="D201" s="111">
        <v>0.4</v>
      </c>
      <c r="E201" s="112">
        <f>ROUNDDOWN((B201+D201)*C201*2,2)</f>
        <v>3.3</v>
      </c>
      <c r="F201" s="113"/>
    </row>
    <row r="202" spans="1:6" s="79" customFormat="1" ht="13.5" thickBot="1">
      <c r="A202" s="417" t="s">
        <v>101</v>
      </c>
      <c r="B202" s="405">
        <v>0.8</v>
      </c>
      <c r="C202" s="341">
        <v>1</v>
      </c>
      <c r="D202" s="216">
        <v>0.4</v>
      </c>
      <c r="E202" s="418">
        <f>B202+D202</f>
        <v>1.2000000000000002</v>
      </c>
      <c r="F202" s="426"/>
    </row>
    <row r="203" spans="1:6" s="79" customFormat="1">
      <c r="A203" s="368" t="s">
        <v>326</v>
      </c>
      <c r="B203" s="823"/>
      <c r="C203" s="824"/>
      <c r="D203" s="825"/>
      <c r="E203" s="422"/>
      <c r="F203" s="117"/>
    </row>
    <row r="204" spans="1:6" s="79" customFormat="1">
      <c r="A204" s="287" t="s">
        <v>325</v>
      </c>
      <c r="B204" s="360">
        <v>0.6</v>
      </c>
      <c r="C204" s="114">
        <v>1</v>
      </c>
      <c r="D204" s="111">
        <v>0.4</v>
      </c>
      <c r="E204" s="112">
        <f>(B204+D204*C204)*2</f>
        <v>2</v>
      </c>
      <c r="F204" s="113"/>
    </row>
    <row r="205" spans="1:6" s="79" customFormat="1" ht="13.5" thickBot="1">
      <c r="A205" s="417" t="s">
        <v>101</v>
      </c>
      <c r="B205" s="405">
        <v>0.8</v>
      </c>
      <c r="C205" s="341">
        <v>1</v>
      </c>
      <c r="D205" s="216">
        <v>0.4</v>
      </c>
      <c r="E205" s="418">
        <f>B205+D205</f>
        <v>1.2000000000000002</v>
      </c>
      <c r="F205" s="426"/>
    </row>
    <row r="206" spans="1:6" s="79" customFormat="1" ht="25.5">
      <c r="A206" s="429" t="s">
        <v>386</v>
      </c>
      <c r="B206" s="830"/>
      <c r="C206" s="831"/>
      <c r="D206" s="832"/>
      <c r="E206" s="422"/>
      <c r="F206" s="117"/>
    </row>
    <row r="207" spans="1:6" s="79" customFormat="1" ht="13.5" thickBot="1">
      <c r="A207" s="327" t="s">
        <v>391</v>
      </c>
      <c r="B207" s="216">
        <v>2</v>
      </c>
      <c r="C207" s="341">
        <v>1</v>
      </c>
      <c r="D207" s="216">
        <v>0.4</v>
      </c>
      <c r="E207" s="112">
        <f>ROUNDDOWN((B207+D207)*C207*2,2)</f>
        <v>4.8</v>
      </c>
      <c r="F207" s="426"/>
    </row>
    <row r="208" spans="1:6" s="79" customFormat="1">
      <c r="A208" s="430" t="s">
        <v>385</v>
      </c>
      <c r="B208" s="830"/>
      <c r="C208" s="831"/>
      <c r="D208" s="832"/>
      <c r="E208" s="422"/>
      <c r="F208" s="117"/>
    </row>
    <row r="209" spans="1:6" s="79" customFormat="1" ht="13.5" thickBot="1">
      <c r="A209" s="327" t="s">
        <v>391</v>
      </c>
      <c r="B209" s="216">
        <v>2</v>
      </c>
      <c r="C209" s="341">
        <v>2</v>
      </c>
      <c r="D209" s="216">
        <v>0.4</v>
      </c>
      <c r="E209" s="112">
        <f>ROUNDDOWN((B209+D209)*C209*2,2)</f>
        <v>9.6</v>
      </c>
      <c r="F209" s="426"/>
    </row>
    <row r="210" spans="1:6" s="79" customFormat="1" ht="15" customHeight="1">
      <c r="A210" s="431" t="s">
        <v>290</v>
      </c>
      <c r="B210" s="830"/>
      <c r="C210" s="831"/>
      <c r="D210" s="832"/>
      <c r="E210" s="427"/>
      <c r="F210" s="428"/>
    </row>
    <row r="211" spans="1:6" s="79" customFormat="1">
      <c r="A211" s="108" t="s">
        <v>391</v>
      </c>
      <c r="B211" s="404">
        <v>2</v>
      </c>
      <c r="C211" s="114">
        <v>2</v>
      </c>
      <c r="D211" s="404">
        <v>0.4</v>
      </c>
      <c r="E211" s="112">
        <f>ROUNDDOWN((B211+D211)*C211*2,2)</f>
        <v>9.6</v>
      </c>
      <c r="F211" s="113"/>
    </row>
    <row r="212" spans="1:6" s="79" customFormat="1" ht="13.5" thickBot="1">
      <c r="A212" s="327" t="s">
        <v>101</v>
      </c>
      <c r="B212" s="405">
        <v>0.8</v>
      </c>
      <c r="C212" s="341">
        <v>1</v>
      </c>
      <c r="D212" s="216">
        <v>0.4</v>
      </c>
      <c r="E212" s="418">
        <f>B212+D212</f>
        <v>1.2000000000000002</v>
      </c>
      <c r="F212" s="426"/>
    </row>
    <row r="213" spans="1:6" s="79" customFormat="1">
      <c r="A213" s="430" t="s">
        <v>384</v>
      </c>
      <c r="B213" s="830"/>
      <c r="C213" s="831"/>
      <c r="D213" s="832"/>
      <c r="E213" s="422"/>
      <c r="F213" s="117"/>
    </row>
    <row r="214" spans="1:6" s="79" customFormat="1">
      <c r="A214" s="108" t="s">
        <v>391</v>
      </c>
      <c r="B214" s="404">
        <v>2</v>
      </c>
      <c r="C214" s="114">
        <v>2</v>
      </c>
      <c r="D214" s="404">
        <v>0.4</v>
      </c>
      <c r="E214" s="112">
        <f>ROUNDDOWN((B214+D214)*C214*2,2)</f>
        <v>9.6</v>
      </c>
      <c r="F214" s="113"/>
    </row>
    <row r="215" spans="1:6" s="79" customFormat="1" ht="13.5" thickBot="1">
      <c r="A215" s="327" t="s">
        <v>101</v>
      </c>
      <c r="B215" s="493">
        <v>0.8</v>
      </c>
      <c r="C215" s="341">
        <v>1</v>
      </c>
      <c r="D215" s="216">
        <v>0.4</v>
      </c>
      <c r="E215" s="418">
        <f>B215+D215</f>
        <v>1.2000000000000002</v>
      </c>
      <c r="F215" s="426"/>
    </row>
    <row r="216" spans="1:6" s="79" customFormat="1" ht="13.5" thickBot="1">
      <c r="A216" s="458" t="s">
        <v>424</v>
      </c>
      <c r="B216" s="343">
        <v>1.6</v>
      </c>
      <c r="C216" s="645">
        <v>1</v>
      </c>
      <c r="D216" s="343">
        <v>0.4</v>
      </c>
      <c r="E216" s="646">
        <f>((B216+D216)*C216)*2</f>
        <v>4</v>
      </c>
      <c r="F216" s="647"/>
    </row>
    <row r="217" spans="1:6" s="79" customFormat="1">
      <c r="A217" s="430" t="s">
        <v>552</v>
      </c>
      <c r="B217" s="823"/>
      <c r="C217" s="824"/>
      <c r="D217" s="825"/>
      <c r="E217" s="422"/>
      <c r="F217" s="117"/>
    </row>
    <row r="218" spans="1:6" s="79" customFormat="1">
      <c r="A218" s="628" t="s">
        <v>553</v>
      </c>
      <c r="B218" s="632">
        <v>2</v>
      </c>
      <c r="C218" s="114">
        <v>2</v>
      </c>
      <c r="D218" s="632">
        <v>0.4</v>
      </c>
      <c r="E218" s="112">
        <f>((B218+D218)*C218)*2</f>
        <v>9.6</v>
      </c>
      <c r="F218" s="113"/>
    </row>
    <row r="219" spans="1:6" s="79" customFormat="1" ht="13.5" thickBot="1">
      <c r="A219" s="327" t="s">
        <v>554</v>
      </c>
      <c r="B219" s="216">
        <v>1.6</v>
      </c>
      <c r="C219" s="341">
        <v>1</v>
      </c>
      <c r="D219" s="216">
        <v>0.4</v>
      </c>
      <c r="E219" s="112">
        <f>ROUNDDOWN((B219+D219)*C219*2,2)</f>
        <v>4</v>
      </c>
      <c r="F219" s="426"/>
    </row>
    <row r="220" spans="1:6" s="79" customFormat="1">
      <c r="A220" s="430" t="s">
        <v>555</v>
      </c>
      <c r="B220" s="823"/>
      <c r="C220" s="824"/>
      <c r="D220" s="825"/>
      <c r="E220" s="422"/>
      <c r="F220" s="117"/>
    </row>
    <row r="221" spans="1:6" s="79" customFormat="1">
      <c r="A221" s="628" t="s">
        <v>553</v>
      </c>
      <c r="B221" s="632">
        <v>2</v>
      </c>
      <c r="C221" s="114">
        <v>2</v>
      </c>
      <c r="D221" s="632">
        <v>0.4</v>
      </c>
      <c r="E221" s="112">
        <f>ROUNDDOWN((B221+D221)*C221*2,2)</f>
        <v>9.6</v>
      </c>
      <c r="F221" s="113"/>
    </row>
    <row r="222" spans="1:6" s="79" customFormat="1" ht="13.5" thickBot="1">
      <c r="A222" s="327" t="s">
        <v>554</v>
      </c>
      <c r="B222" s="216">
        <v>1.6</v>
      </c>
      <c r="C222" s="341">
        <v>1</v>
      </c>
      <c r="D222" s="216">
        <v>0.4</v>
      </c>
      <c r="E222" s="112">
        <f>ROUNDDOWN((B222+D222)*C222*2,2)</f>
        <v>4</v>
      </c>
      <c r="F222" s="426"/>
    </row>
    <row r="223" spans="1:6" s="79" customFormat="1">
      <c r="A223" s="430" t="s">
        <v>556</v>
      </c>
      <c r="B223" s="823"/>
      <c r="C223" s="824"/>
      <c r="D223" s="825"/>
      <c r="E223" s="422"/>
      <c r="F223" s="117"/>
    </row>
    <row r="224" spans="1:6" s="79" customFormat="1">
      <c r="A224" s="628" t="s">
        <v>553</v>
      </c>
      <c r="B224" s="632">
        <v>2</v>
      </c>
      <c r="C224" s="114">
        <v>2</v>
      </c>
      <c r="D224" s="632">
        <v>0.4</v>
      </c>
      <c r="E224" s="112">
        <f>ROUNDDOWN((B224+D224)*C224*2,2)</f>
        <v>9.6</v>
      </c>
      <c r="F224" s="113"/>
    </row>
    <row r="225" spans="1:6" s="79" customFormat="1" ht="13.5" thickBot="1">
      <c r="A225" s="327" t="s">
        <v>554</v>
      </c>
      <c r="B225" s="216">
        <v>1.6</v>
      </c>
      <c r="C225" s="341">
        <v>1</v>
      </c>
      <c r="D225" s="216">
        <v>0.4</v>
      </c>
      <c r="E225" s="112">
        <f>ROUNDDOWN((B225+D225)*C225*2,2)</f>
        <v>4</v>
      </c>
      <c r="F225" s="426"/>
    </row>
    <row r="226" spans="1:6" s="79" customFormat="1">
      <c r="A226" s="430" t="s">
        <v>289</v>
      </c>
      <c r="B226" s="823"/>
      <c r="C226" s="824"/>
      <c r="D226" s="825"/>
      <c r="E226" s="422"/>
      <c r="F226" s="117"/>
    </row>
    <row r="227" spans="1:6" s="79" customFormat="1">
      <c r="A227" s="628" t="s">
        <v>553</v>
      </c>
      <c r="B227" s="632">
        <v>2</v>
      </c>
      <c r="C227" s="114">
        <v>2</v>
      </c>
      <c r="D227" s="632">
        <v>0.4</v>
      </c>
      <c r="E227" s="112">
        <f>ROUNDDOWN((B227+D227)*C227*2,2)</f>
        <v>9.6</v>
      </c>
      <c r="F227" s="113"/>
    </row>
    <row r="228" spans="1:6" s="79" customFormat="1" ht="13.5" thickBot="1">
      <c r="A228" s="327" t="s">
        <v>554</v>
      </c>
      <c r="B228" s="216">
        <v>1.6</v>
      </c>
      <c r="C228" s="341">
        <v>1</v>
      </c>
      <c r="D228" s="216">
        <v>0.4</v>
      </c>
      <c r="E228" s="418">
        <f>ROUNDDOWN((B228+D228)*C228*2,2)</f>
        <v>4</v>
      </c>
      <c r="F228" s="426"/>
    </row>
    <row r="229" spans="1:6" s="79" customFormat="1" ht="78" customHeight="1" thickBot="1">
      <c r="A229" s="145">
        <v>87490</v>
      </c>
      <c r="B229" s="820" t="s">
        <v>456</v>
      </c>
      <c r="C229" s="821"/>
      <c r="D229" s="822"/>
      <c r="E229" s="146" t="s">
        <v>87</v>
      </c>
      <c r="F229" s="147">
        <f>ROUNDDOWN(F231+F232+F233+F234+F235+F236+F237+F238+F239+F241+F242+F243+F244+F245+F240+F246+F247+F248+F249,2)</f>
        <v>214.3</v>
      </c>
    </row>
    <row r="230" spans="1:6" s="79" customFormat="1" ht="25.5">
      <c r="A230" s="80"/>
      <c r="B230" s="116" t="s">
        <v>83</v>
      </c>
      <c r="C230" s="117" t="s">
        <v>84</v>
      </c>
      <c r="D230" s="643" t="s">
        <v>437</v>
      </c>
      <c r="E230" s="117" t="s">
        <v>102</v>
      </c>
      <c r="F230" s="95" t="s">
        <v>13</v>
      </c>
    </row>
    <row r="231" spans="1:6" s="79" customFormat="1">
      <c r="A231" s="863" t="s">
        <v>322</v>
      </c>
      <c r="B231" s="370" t="s">
        <v>330</v>
      </c>
      <c r="C231" s="78">
        <v>7.26</v>
      </c>
      <c r="D231" s="78">
        <v>3.08</v>
      </c>
      <c r="E231" s="115">
        <f>ROUNDDOWN(1.1*2*2-2,2)</f>
        <v>2.4</v>
      </c>
      <c r="F231" s="290">
        <f>ROUNDDOWN((C231*D231)-E231,2)</f>
        <v>19.96</v>
      </c>
    </row>
    <row r="232" spans="1:6" s="79" customFormat="1" ht="25.5">
      <c r="A232" s="864"/>
      <c r="B232" s="631" t="s">
        <v>331</v>
      </c>
      <c r="C232" s="875">
        <v>19.61</v>
      </c>
      <c r="D232" s="876"/>
      <c r="E232" s="115">
        <f>ROUNDDOWN(1.1*1.6*2-2,2)</f>
        <v>1.52</v>
      </c>
      <c r="F232" s="290">
        <f>ROUNDDOWN(C232-E232,2)</f>
        <v>18.09</v>
      </c>
    </row>
    <row r="233" spans="1:6" s="79" customFormat="1" ht="26.25" thickBot="1">
      <c r="A233" s="865"/>
      <c r="B233" s="648" t="s">
        <v>152</v>
      </c>
      <c r="C233" s="882">
        <v>17.87</v>
      </c>
      <c r="D233" s="883"/>
      <c r="E233" s="338"/>
      <c r="F233" s="336">
        <f>C233-E233</f>
        <v>17.87</v>
      </c>
    </row>
    <row r="234" spans="1:6" s="79" customFormat="1" ht="13.5" customHeight="1" thickBot="1">
      <c r="A234" s="371" t="s">
        <v>326</v>
      </c>
      <c r="B234" s="384" t="s">
        <v>332</v>
      </c>
      <c r="C234" s="343">
        <v>1.6</v>
      </c>
      <c r="D234" s="343">
        <v>3.27</v>
      </c>
      <c r="E234" s="344">
        <f>ROUNDDOWN((0.8*2.1)+(0.6*0.7)-2,2)</f>
        <v>0.1</v>
      </c>
      <c r="F234" s="345">
        <f>ROUNDDOWN((C234*D234)-E234,2)</f>
        <v>5.13</v>
      </c>
    </row>
    <row r="235" spans="1:6" s="79" customFormat="1" ht="12.75" customHeight="1">
      <c r="A235" s="859" t="s">
        <v>333</v>
      </c>
      <c r="B235" s="315" t="s">
        <v>330</v>
      </c>
      <c r="C235" s="342">
        <v>3.59</v>
      </c>
      <c r="D235" s="90">
        <v>3.08</v>
      </c>
      <c r="E235" s="337"/>
      <c r="F235" s="102">
        <f>ROUNDDOWN(D235*C235,2)</f>
        <v>11.05</v>
      </c>
    </row>
    <row r="236" spans="1:6" s="79" customFormat="1" ht="15" customHeight="1">
      <c r="A236" s="859"/>
      <c r="B236" s="108" t="s">
        <v>103</v>
      </c>
      <c r="C236" s="118">
        <v>3.66</v>
      </c>
      <c r="D236" s="78">
        <v>2.98</v>
      </c>
      <c r="E236" s="120"/>
      <c r="F236" s="102">
        <f t="shared" ref="F236:F249" si="7">ROUNDDOWN(D236*C236,2)</f>
        <v>10.9</v>
      </c>
    </row>
    <row r="237" spans="1:6" s="79" customFormat="1" ht="15.75" customHeight="1">
      <c r="A237" s="859"/>
      <c r="B237" s="108" t="s">
        <v>388</v>
      </c>
      <c r="C237" s="118">
        <v>3.66</v>
      </c>
      <c r="D237" s="78">
        <v>2.98</v>
      </c>
      <c r="E237" s="120"/>
      <c r="F237" s="102">
        <f t="shared" si="7"/>
        <v>10.9</v>
      </c>
    </row>
    <row r="238" spans="1:6" s="79" customFormat="1" ht="13.5" customHeight="1" thickBot="1">
      <c r="A238" s="859"/>
      <c r="B238" s="274" t="s">
        <v>389</v>
      </c>
      <c r="C238" s="158">
        <v>3.66</v>
      </c>
      <c r="D238" s="86">
        <v>2.98</v>
      </c>
      <c r="E238" s="121"/>
      <c r="F238" s="216">
        <f t="shared" si="7"/>
        <v>10.9</v>
      </c>
    </row>
    <row r="239" spans="1:6" s="79" customFormat="1" ht="25.5">
      <c r="A239" s="902" t="s">
        <v>329</v>
      </c>
      <c r="B239" s="464" t="s">
        <v>334</v>
      </c>
      <c r="C239" s="372">
        <f>2.6+0.4</f>
        <v>3</v>
      </c>
      <c r="D239" s="373">
        <v>0.55000000000000004</v>
      </c>
      <c r="E239" s="350"/>
      <c r="F239" s="102">
        <f t="shared" si="7"/>
        <v>1.65</v>
      </c>
    </row>
    <row r="240" spans="1:6" s="79" customFormat="1" ht="15.75" customHeight="1" thickBot="1">
      <c r="A240" s="903"/>
      <c r="B240" s="327" t="s">
        <v>436</v>
      </c>
      <c r="C240" s="374">
        <v>2.5</v>
      </c>
      <c r="D240" s="100">
        <v>0.4</v>
      </c>
      <c r="E240" s="211"/>
      <c r="F240" s="216">
        <f t="shared" si="7"/>
        <v>1</v>
      </c>
    </row>
    <row r="241" spans="1:6" s="79" customFormat="1">
      <c r="A241" s="881" t="s">
        <v>327</v>
      </c>
      <c r="B241" s="465" t="s">
        <v>335</v>
      </c>
      <c r="C241" s="342">
        <v>0.73</v>
      </c>
      <c r="D241" s="90">
        <v>2.98</v>
      </c>
      <c r="E241" s="337"/>
      <c r="F241" s="102">
        <f t="shared" si="7"/>
        <v>2.17</v>
      </c>
    </row>
    <row r="242" spans="1:6" s="79" customFormat="1" ht="13.5" thickBot="1">
      <c r="A242" s="906"/>
      <c r="B242" s="327" t="s">
        <v>409</v>
      </c>
      <c r="C242" s="374">
        <v>3.95</v>
      </c>
      <c r="D242" s="100">
        <v>0.73</v>
      </c>
      <c r="E242" s="211"/>
      <c r="F242" s="216">
        <f t="shared" si="7"/>
        <v>2.88</v>
      </c>
    </row>
    <row r="243" spans="1:6" s="79" customFormat="1" ht="13.5" thickBot="1">
      <c r="A243" s="907" t="s">
        <v>336</v>
      </c>
      <c r="B243" s="908"/>
      <c r="C243" s="376">
        <v>14.05</v>
      </c>
      <c r="D243" s="377">
        <v>4.18</v>
      </c>
      <c r="E243" s="378"/>
      <c r="F243" s="343">
        <f t="shared" si="7"/>
        <v>58.72</v>
      </c>
    </row>
    <row r="244" spans="1:6" s="79" customFormat="1" ht="13.5" thickBot="1">
      <c r="A244" s="909" t="s">
        <v>337</v>
      </c>
      <c r="B244" s="910"/>
      <c r="C244" s="376">
        <f>6.26+13.92</f>
        <v>20.18</v>
      </c>
      <c r="D244" s="377">
        <v>0.42</v>
      </c>
      <c r="E244" s="378"/>
      <c r="F244" s="102">
        <f t="shared" si="7"/>
        <v>8.4700000000000006</v>
      </c>
    </row>
    <row r="245" spans="1:6" s="79" customFormat="1" ht="26.25" thickBot="1">
      <c r="A245" s="466" t="s">
        <v>387</v>
      </c>
      <c r="B245" s="467" t="s">
        <v>390</v>
      </c>
      <c r="C245" s="919" t="s">
        <v>104</v>
      </c>
      <c r="D245" s="920"/>
      <c r="E245" s="378"/>
      <c r="F245" s="343">
        <f>(3.95-1.68-2.2)+(6.7-1.68-2.2)+(3.94*2.96)</f>
        <v>14.5524</v>
      </c>
    </row>
    <row r="246" spans="1:6" s="79" customFormat="1" ht="13.5" thickBot="1">
      <c r="A246" s="466" t="s">
        <v>452</v>
      </c>
      <c r="B246" s="467"/>
      <c r="C246" s="376">
        <v>6.31</v>
      </c>
      <c r="D246" s="376">
        <v>1.38</v>
      </c>
      <c r="E246" s="378"/>
      <c r="F246" s="343">
        <f t="shared" si="7"/>
        <v>8.6999999999999993</v>
      </c>
    </row>
    <row r="247" spans="1:6" s="79" customFormat="1">
      <c r="A247" s="973" t="s">
        <v>424</v>
      </c>
      <c r="B247" s="496" t="s">
        <v>472</v>
      </c>
      <c r="C247" s="342">
        <v>1.1000000000000001</v>
      </c>
      <c r="D247" s="342">
        <v>3</v>
      </c>
      <c r="E247" s="337"/>
      <c r="F247" s="102">
        <f t="shared" si="7"/>
        <v>3.3</v>
      </c>
    </row>
    <row r="248" spans="1:6" s="79" customFormat="1" ht="15.75" customHeight="1">
      <c r="A248" s="974"/>
      <c r="B248" s="412" t="s">
        <v>431</v>
      </c>
      <c r="C248" s="625">
        <v>2.38</v>
      </c>
      <c r="D248" s="625">
        <v>3</v>
      </c>
      <c r="E248" s="120"/>
      <c r="F248" s="632">
        <f t="shared" si="7"/>
        <v>7.14</v>
      </c>
    </row>
    <row r="249" spans="1:6" s="79" customFormat="1" ht="13.5" thickBot="1">
      <c r="A249" s="974"/>
      <c r="B249" s="495" t="s">
        <v>155</v>
      </c>
      <c r="C249" s="158">
        <v>0.84</v>
      </c>
      <c r="D249" s="158">
        <v>1.1000000000000001</v>
      </c>
      <c r="E249" s="121"/>
      <c r="F249" s="111">
        <f t="shared" si="7"/>
        <v>0.92</v>
      </c>
    </row>
    <row r="250" spans="1:6" s="79" customFormat="1" ht="26.25" customHeight="1" thickBot="1">
      <c r="A250" s="72">
        <v>79627</v>
      </c>
      <c r="B250" s="814" t="s">
        <v>355</v>
      </c>
      <c r="C250" s="815"/>
      <c r="D250" s="816"/>
      <c r="E250" s="73" t="s">
        <v>87</v>
      </c>
      <c r="F250" s="74">
        <f>ROUNDDOWN(F252+F253,2)</f>
        <v>5.88</v>
      </c>
    </row>
    <row r="251" spans="1:6" s="79" customFormat="1">
      <c r="A251" s="391"/>
      <c r="B251" s="116" t="s">
        <v>83</v>
      </c>
      <c r="C251" s="117" t="s">
        <v>84</v>
      </c>
      <c r="D251" s="117" t="s">
        <v>90</v>
      </c>
      <c r="E251" s="155" t="s">
        <v>23</v>
      </c>
      <c r="F251" s="380" t="s">
        <v>13</v>
      </c>
    </row>
    <row r="252" spans="1:6" s="79" customFormat="1">
      <c r="A252" s="391"/>
      <c r="B252" s="393" t="s">
        <v>323</v>
      </c>
      <c r="C252" s="118">
        <v>0.7</v>
      </c>
      <c r="D252" s="78">
        <v>1.4</v>
      </c>
      <c r="E252" s="120">
        <v>3</v>
      </c>
      <c r="F252" s="381">
        <f>ROUNDDOWN(E252*D252*C252,2)</f>
        <v>2.94</v>
      </c>
    </row>
    <row r="253" spans="1:6" s="79" customFormat="1" ht="13.5" thickBot="1">
      <c r="A253" s="392"/>
      <c r="B253" s="394" t="s">
        <v>324</v>
      </c>
      <c r="C253" s="118">
        <v>0.7</v>
      </c>
      <c r="D253" s="78">
        <v>1.4</v>
      </c>
      <c r="E253" s="121">
        <v>3</v>
      </c>
      <c r="F253" s="632">
        <f>ROUNDDOWN(E253*D253*C253,2)</f>
        <v>2.94</v>
      </c>
    </row>
    <row r="254" spans="1:6" s="79" customFormat="1" ht="13.5" thickBot="1">
      <c r="A254" s="71">
        <v>6</v>
      </c>
      <c r="B254" s="826" t="s">
        <v>63</v>
      </c>
      <c r="C254" s="782"/>
      <c r="D254" s="782"/>
      <c r="E254" s="782"/>
      <c r="F254" s="783"/>
    </row>
    <row r="255" spans="1:6" s="79" customFormat="1" ht="27" customHeight="1" thickBot="1">
      <c r="A255" s="72" t="s">
        <v>295</v>
      </c>
      <c r="B255" s="784" t="s">
        <v>296</v>
      </c>
      <c r="C255" s="784"/>
      <c r="D255" s="784"/>
      <c r="E255" s="73" t="s">
        <v>64</v>
      </c>
      <c r="F255" s="74">
        <v>1</v>
      </c>
    </row>
    <row r="256" spans="1:6" s="79" customFormat="1" ht="13.5" thickBot="1">
      <c r="A256" s="276"/>
      <c r="B256" s="315" t="s">
        <v>338</v>
      </c>
      <c r="C256" s="75"/>
      <c r="D256" s="75"/>
      <c r="E256" s="75"/>
      <c r="F256" s="95"/>
    </row>
    <row r="257" spans="1:6" s="79" customFormat="1" ht="27" customHeight="1" thickBot="1">
      <c r="A257" s="331" t="s">
        <v>309</v>
      </c>
      <c r="B257" s="784" t="s">
        <v>310</v>
      </c>
      <c r="C257" s="784"/>
      <c r="D257" s="784"/>
      <c r="E257" s="73" t="s">
        <v>64</v>
      </c>
      <c r="F257" s="332">
        <v>5</v>
      </c>
    </row>
    <row r="258" spans="1:6" s="79" customFormat="1" ht="28.5" customHeight="1" thickBot="1">
      <c r="A258" s="94"/>
      <c r="B258" s="922" t="s">
        <v>392</v>
      </c>
      <c r="C258" s="923"/>
      <c r="D258" s="923"/>
      <c r="E258" s="923"/>
      <c r="F258" s="924"/>
    </row>
    <row r="259" spans="1:6" s="79" customFormat="1" ht="27" customHeight="1" thickBot="1">
      <c r="A259" s="331" t="s">
        <v>297</v>
      </c>
      <c r="B259" s="784" t="s">
        <v>298</v>
      </c>
      <c r="C259" s="784"/>
      <c r="D259" s="784"/>
      <c r="E259" s="73" t="s">
        <v>64</v>
      </c>
      <c r="F259" s="332">
        <v>3</v>
      </c>
    </row>
    <row r="260" spans="1:6" s="79" customFormat="1" ht="13.5" thickBot="1">
      <c r="A260" s="91"/>
      <c r="B260" s="91" t="s">
        <v>459</v>
      </c>
      <c r="C260" s="91"/>
      <c r="D260" s="91"/>
      <c r="E260" s="91"/>
      <c r="F260" s="91"/>
    </row>
    <row r="261" spans="1:6" s="79" customFormat="1" ht="27" customHeight="1" thickBot="1">
      <c r="A261" s="331" t="s">
        <v>299</v>
      </c>
      <c r="B261" s="784" t="s">
        <v>300</v>
      </c>
      <c r="C261" s="784"/>
      <c r="D261" s="784"/>
      <c r="E261" s="73" t="s">
        <v>64</v>
      </c>
      <c r="F261" s="332">
        <v>3</v>
      </c>
    </row>
    <row r="262" spans="1:6" s="79" customFormat="1" ht="13.5" thickBot="1">
      <c r="A262" s="91"/>
      <c r="B262" s="91" t="s">
        <v>460</v>
      </c>
      <c r="C262" s="91"/>
      <c r="D262" s="91"/>
      <c r="E262" s="91"/>
      <c r="F262" s="91"/>
    </row>
    <row r="263" spans="1:6" s="79" customFormat="1" ht="13.5" thickBot="1">
      <c r="A263" s="71">
        <v>7</v>
      </c>
      <c r="B263" s="826" t="s">
        <v>65</v>
      </c>
      <c r="C263" s="782"/>
      <c r="D263" s="782"/>
      <c r="E263" s="782"/>
      <c r="F263" s="783"/>
    </row>
    <row r="264" spans="1:6" s="79" customFormat="1" ht="27.75" customHeight="1" thickBot="1">
      <c r="A264" s="72" t="s">
        <v>180</v>
      </c>
      <c r="B264" s="784" t="s">
        <v>181</v>
      </c>
      <c r="C264" s="784"/>
      <c r="D264" s="784"/>
      <c r="E264" s="154" t="s">
        <v>87</v>
      </c>
      <c r="F264" s="74">
        <f>ROUNDDOWN(F266+F267+F268+F269+F270+F271+F272+F273+F274+F275+F276+F277+F278+F279+F280,2)</f>
        <v>49.72</v>
      </c>
    </row>
    <row r="265" spans="1:6" s="79" customFormat="1">
      <c r="A265" s="94"/>
      <c r="B265" s="126" t="s">
        <v>83</v>
      </c>
      <c r="C265" s="75" t="s">
        <v>84</v>
      </c>
      <c r="D265" s="106" t="s">
        <v>90</v>
      </c>
      <c r="E265" s="106" t="s">
        <v>23</v>
      </c>
      <c r="F265" s="75" t="s">
        <v>13</v>
      </c>
    </row>
    <row r="266" spans="1:6" s="79" customFormat="1">
      <c r="A266" s="862" t="s">
        <v>322</v>
      </c>
      <c r="B266" s="108" t="s">
        <v>114</v>
      </c>
      <c r="C266" s="408">
        <v>1.6</v>
      </c>
      <c r="D266" s="123">
        <v>1.1000000000000001</v>
      </c>
      <c r="E266" s="124">
        <v>2</v>
      </c>
      <c r="F266" s="125">
        <f>ROUNDDOWN(C266*D266*E266,2)</f>
        <v>3.52</v>
      </c>
    </row>
    <row r="267" spans="1:6" s="79" customFormat="1">
      <c r="A267" s="862"/>
      <c r="B267" s="108" t="s">
        <v>115</v>
      </c>
      <c r="C267" s="408">
        <v>2</v>
      </c>
      <c r="D267" s="123">
        <v>1.1000000000000001</v>
      </c>
      <c r="E267" s="124">
        <v>2</v>
      </c>
      <c r="F267" s="640">
        <f t="shared" ref="F267:F280" si="8">ROUNDDOWN(C267*D267*E267,2)</f>
        <v>4.4000000000000004</v>
      </c>
    </row>
    <row r="268" spans="1:6" s="79" customFormat="1" ht="25.5">
      <c r="A268" s="439"/>
      <c r="B268" s="439" t="s">
        <v>386</v>
      </c>
      <c r="C268" s="408">
        <v>2</v>
      </c>
      <c r="D268" s="123">
        <v>1.1000000000000001</v>
      </c>
      <c r="E268" s="124">
        <v>1</v>
      </c>
      <c r="F268" s="640">
        <f t="shared" si="8"/>
        <v>2.2000000000000002</v>
      </c>
    </row>
    <row r="269" spans="1:6" s="79" customFormat="1">
      <c r="A269" s="437"/>
      <c r="B269" s="437" t="s">
        <v>385</v>
      </c>
      <c r="C269" s="408">
        <v>2</v>
      </c>
      <c r="D269" s="123">
        <v>1.1000000000000001</v>
      </c>
      <c r="E269" s="124">
        <v>2</v>
      </c>
      <c r="F269" s="640">
        <f t="shared" si="8"/>
        <v>4.4000000000000004</v>
      </c>
    </row>
    <row r="270" spans="1:6" s="79" customFormat="1">
      <c r="A270" s="437"/>
      <c r="B270" s="437" t="s">
        <v>290</v>
      </c>
      <c r="C270" s="408">
        <v>2</v>
      </c>
      <c r="D270" s="123">
        <v>1.1000000000000001</v>
      </c>
      <c r="E270" s="124">
        <v>2</v>
      </c>
      <c r="F270" s="640">
        <f t="shared" si="8"/>
        <v>4.4000000000000004</v>
      </c>
    </row>
    <row r="271" spans="1:6" s="79" customFormat="1">
      <c r="A271" s="438"/>
      <c r="B271" s="438" t="s">
        <v>384</v>
      </c>
      <c r="C271" s="111">
        <v>2</v>
      </c>
      <c r="D271" s="213">
        <v>1.1000000000000001</v>
      </c>
      <c r="E271" s="214">
        <v>2</v>
      </c>
      <c r="F271" s="640">
        <f t="shared" si="8"/>
        <v>4.4000000000000004</v>
      </c>
    </row>
    <row r="272" spans="1:6" s="79" customFormat="1">
      <c r="A272" s="972" t="s">
        <v>552</v>
      </c>
      <c r="B272" s="628" t="s">
        <v>114</v>
      </c>
      <c r="C272" s="632">
        <v>1.6</v>
      </c>
      <c r="D272" s="123">
        <v>1.1000000000000001</v>
      </c>
      <c r="E272" s="124">
        <v>1</v>
      </c>
      <c r="F272" s="640">
        <f t="shared" si="8"/>
        <v>1.76</v>
      </c>
    </row>
    <row r="273" spans="1:6" s="79" customFormat="1">
      <c r="A273" s="803"/>
      <c r="B273" s="628" t="s">
        <v>115</v>
      </c>
      <c r="C273" s="632">
        <v>2</v>
      </c>
      <c r="D273" s="123">
        <v>1.1000000000000001</v>
      </c>
      <c r="E273" s="124">
        <v>2</v>
      </c>
      <c r="F273" s="640">
        <f t="shared" si="8"/>
        <v>4.4000000000000004</v>
      </c>
    </row>
    <row r="274" spans="1:6" s="79" customFormat="1">
      <c r="A274" s="972" t="s">
        <v>555</v>
      </c>
      <c r="B274" s="628" t="s">
        <v>114</v>
      </c>
      <c r="C274" s="632">
        <v>1.6</v>
      </c>
      <c r="D274" s="123">
        <v>1.1000000000000001</v>
      </c>
      <c r="E274" s="124">
        <v>1</v>
      </c>
      <c r="F274" s="640">
        <f t="shared" si="8"/>
        <v>1.76</v>
      </c>
    </row>
    <row r="275" spans="1:6" s="79" customFormat="1">
      <c r="A275" s="803"/>
      <c r="B275" s="628" t="s">
        <v>115</v>
      </c>
      <c r="C275" s="632">
        <v>2</v>
      </c>
      <c r="D275" s="123">
        <v>1.1000000000000001</v>
      </c>
      <c r="E275" s="124">
        <v>2</v>
      </c>
      <c r="F275" s="640">
        <f t="shared" si="8"/>
        <v>4.4000000000000004</v>
      </c>
    </row>
    <row r="276" spans="1:6" s="79" customFormat="1">
      <c r="A276" s="972" t="s">
        <v>556</v>
      </c>
      <c r="B276" s="628" t="s">
        <v>114</v>
      </c>
      <c r="C276" s="632">
        <v>1.6</v>
      </c>
      <c r="D276" s="123">
        <v>1.1000000000000001</v>
      </c>
      <c r="E276" s="124">
        <v>1</v>
      </c>
      <c r="F276" s="640">
        <f t="shared" si="8"/>
        <v>1.76</v>
      </c>
    </row>
    <row r="277" spans="1:6" s="79" customFormat="1">
      <c r="A277" s="803"/>
      <c r="B277" s="628" t="s">
        <v>115</v>
      </c>
      <c r="C277" s="632">
        <v>2</v>
      </c>
      <c r="D277" s="123">
        <v>1.1000000000000001</v>
      </c>
      <c r="E277" s="124">
        <v>2</v>
      </c>
      <c r="F277" s="640">
        <f t="shared" si="8"/>
        <v>4.4000000000000004</v>
      </c>
    </row>
    <row r="278" spans="1:6" s="79" customFormat="1">
      <c r="A278" s="972" t="s">
        <v>289</v>
      </c>
      <c r="B278" s="628" t="s">
        <v>114</v>
      </c>
      <c r="C278" s="632">
        <v>1.6</v>
      </c>
      <c r="D278" s="123">
        <v>1.1000000000000001</v>
      </c>
      <c r="E278" s="124">
        <v>1</v>
      </c>
      <c r="F278" s="640">
        <f t="shared" si="8"/>
        <v>1.76</v>
      </c>
    </row>
    <row r="279" spans="1:6" s="79" customFormat="1">
      <c r="A279" s="803"/>
      <c r="B279" s="628" t="s">
        <v>115</v>
      </c>
      <c r="C279" s="632">
        <v>2</v>
      </c>
      <c r="D279" s="123">
        <v>1.1000000000000001</v>
      </c>
      <c r="E279" s="124">
        <v>2</v>
      </c>
      <c r="F279" s="640">
        <f t="shared" si="8"/>
        <v>4.4000000000000004</v>
      </c>
    </row>
    <row r="280" spans="1:6" s="79" customFormat="1" ht="13.5" thickBot="1">
      <c r="A280" s="438"/>
      <c r="B280" s="438" t="s">
        <v>424</v>
      </c>
      <c r="C280" s="111">
        <v>1.6</v>
      </c>
      <c r="D280" s="213">
        <v>1.1000000000000001</v>
      </c>
      <c r="E280" s="214">
        <v>1</v>
      </c>
      <c r="F280" s="640">
        <f t="shared" si="8"/>
        <v>1.76</v>
      </c>
    </row>
    <row r="281" spans="1:6" s="79" customFormat="1" ht="13.5" thickBot="1">
      <c r="A281" s="72">
        <v>68052</v>
      </c>
      <c r="B281" s="784" t="s">
        <v>339</v>
      </c>
      <c r="C281" s="784"/>
      <c r="D281" s="784"/>
      <c r="E281" s="154" t="s">
        <v>87</v>
      </c>
      <c r="F281" s="74">
        <f>F283</f>
        <v>0.42</v>
      </c>
    </row>
    <row r="282" spans="1:6" s="79" customFormat="1">
      <c r="A282" s="94"/>
      <c r="B282" s="126" t="s">
        <v>83</v>
      </c>
      <c r="C282" s="75" t="s">
        <v>84</v>
      </c>
      <c r="D282" s="106" t="s">
        <v>90</v>
      </c>
      <c r="E282" s="106" t="s">
        <v>23</v>
      </c>
      <c r="F282" s="75" t="s">
        <v>13</v>
      </c>
    </row>
    <row r="283" spans="1:6" s="79" customFormat="1" ht="13.5" thickBot="1">
      <c r="A283" s="85"/>
      <c r="B283" s="157" t="s">
        <v>326</v>
      </c>
      <c r="C283" s="111">
        <v>0.6</v>
      </c>
      <c r="D283" s="213">
        <v>0.7</v>
      </c>
      <c r="E283" s="214">
        <v>1</v>
      </c>
      <c r="F283" s="215">
        <f>ROUNDDOWN(E283*D283*C283,2)</f>
        <v>0.42</v>
      </c>
    </row>
    <row r="284" spans="1:6" s="79" customFormat="1" ht="26.25" customHeight="1" thickBot="1">
      <c r="A284" s="72">
        <v>71701</v>
      </c>
      <c r="B284" s="784" t="s">
        <v>340</v>
      </c>
      <c r="C284" s="784"/>
      <c r="D284" s="784"/>
      <c r="E284" s="154" t="s">
        <v>87</v>
      </c>
      <c r="F284" s="74">
        <f>F286+F287</f>
        <v>1.5</v>
      </c>
    </row>
    <row r="285" spans="1:6" s="79" customFormat="1">
      <c r="A285" s="94"/>
      <c r="B285" s="126" t="s">
        <v>83</v>
      </c>
      <c r="C285" s="75" t="s">
        <v>84</v>
      </c>
      <c r="D285" s="106" t="s">
        <v>90</v>
      </c>
      <c r="E285" s="106" t="s">
        <v>23</v>
      </c>
      <c r="F285" s="75" t="s">
        <v>13</v>
      </c>
    </row>
    <row r="286" spans="1:6" s="79" customFormat="1">
      <c r="A286" s="108"/>
      <c r="B286" s="156" t="s">
        <v>323</v>
      </c>
      <c r="C286" s="123">
        <v>1.25</v>
      </c>
      <c r="D286" s="124">
        <v>0.6</v>
      </c>
      <c r="E286" s="125">
        <v>1</v>
      </c>
      <c r="F286" s="215">
        <f>ROUNDDOWN(E286*D286*C286,2)</f>
        <v>0.75</v>
      </c>
    </row>
    <row r="287" spans="1:6" s="79" customFormat="1" ht="13.5" thickBot="1">
      <c r="A287" s="108"/>
      <c r="B287" s="156" t="s">
        <v>324</v>
      </c>
      <c r="C287" s="123">
        <v>1.25</v>
      </c>
      <c r="D287" s="124">
        <v>0.6</v>
      </c>
      <c r="E287" s="125">
        <v>1</v>
      </c>
      <c r="F287" s="215">
        <f>ROUNDDOWN(E287*D287*C287,2)</f>
        <v>0.75</v>
      </c>
    </row>
    <row r="288" spans="1:6" s="79" customFormat="1" ht="13.5" thickBot="1">
      <c r="A288" s="72">
        <v>72116</v>
      </c>
      <c r="B288" s="784" t="s">
        <v>341</v>
      </c>
      <c r="C288" s="784"/>
      <c r="D288" s="784"/>
      <c r="E288" s="154" t="s">
        <v>87</v>
      </c>
      <c r="F288" s="74">
        <f>ROUNDDOWN(F290+F291+F292,2)</f>
        <v>1.92</v>
      </c>
    </row>
    <row r="289" spans="1:6" s="79" customFormat="1">
      <c r="A289" s="108"/>
      <c r="B289" s="126" t="s">
        <v>83</v>
      </c>
      <c r="C289" s="75" t="s">
        <v>84</v>
      </c>
      <c r="D289" s="106" t="s">
        <v>90</v>
      </c>
      <c r="E289" s="106" t="s">
        <v>23</v>
      </c>
      <c r="F289" s="75" t="s">
        <v>13</v>
      </c>
    </row>
    <row r="290" spans="1:6" s="79" customFormat="1">
      <c r="A290" s="108"/>
      <c r="B290" s="156" t="s">
        <v>326</v>
      </c>
      <c r="C290" s="123">
        <v>0.6</v>
      </c>
      <c r="D290" s="124">
        <v>0.7</v>
      </c>
      <c r="E290" s="125">
        <v>1</v>
      </c>
      <c r="F290" s="215">
        <f>ROUNDDOWN(E290*D290*C290,2)</f>
        <v>0.42</v>
      </c>
    </row>
    <row r="291" spans="1:6" s="79" customFormat="1">
      <c r="A291" s="108"/>
      <c r="B291" s="156" t="s">
        <v>323</v>
      </c>
      <c r="C291" s="123">
        <v>1.25</v>
      </c>
      <c r="D291" s="124">
        <v>0.6</v>
      </c>
      <c r="E291" s="125">
        <v>1</v>
      </c>
      <c r="F291" s="215">
        <f>ROUNDDOWN(E291*D291*C291,2)</f>
        <v>0.75</v>
      </c>
    </row>
    <row r="292" spans="1:6" s="79" customFormat="1" ht="13.5" thickBot="1">
      <c r="A292" s="108"/>
      <c r="B292" s="156" t="s">
        <v>324</v>
      </c>
      <c r="C292" s="123">
        <v>1.25</v>
      </c>
      <c r="D292" s="124">
        <v>0.6</v>
      </c>
      <c r="E292" s="125">
        <v>1</v>
      </c>
      <c r="F292" s="215">
        <f>ROUNDDOWN(E292*D292*C292,2)</f>
        <v>0.75</v>
      </c>
    </row>
    <row r="293" spans="1:6" s="79" customFormat="1" ht="13.5" thickBot="1">
      <c r="A293" s="71">
        <v>8</v>
      </c>
      <c r="B293" s="826" t="s">
        <v>66</v>
      </c>
      <c r="C293" s="782"/>
      <c r="D293" s="782"/>
      <c r="E293" s="782"/>
      <c r="F293" s="783"/>
    </row>
    <row r="294" spans="1:6" s="79" customFormat="1" ht="42.75" customHeight="1" thickBot="1">
      <c r="A294" s="72">
        <v>72083</v>
      </c>
      <c r="B294" s="784" t="s">
        <v>311</v>
      </c>
      <c r="C294" s="784"/>
      <c r="D294" s="784"/>
      <c r="E294" s="73" t="s">
        <v>87</v>
      </c>
      <c r="F294" s="74">
        <f>ROUNDDOWN(E296+E297+E298,2)</f>
        <v>363.29</v>
      </c>
    </row>
    <row r="295" spans="1:6" s="79" customFormat="1">
      <c r="A295" s="638"/>
      <c r="B295" s="624" t="s">
        <v>83</v>
      </c>
      <c r="C295" s="624" t="s">
        <v>84</v>
      </c>
      <c r="D295" s="102" t="s">
        <v>94</v>
      </c>
      <c r="E295" s="116" t="s">
        <v>13</v>
      </c>
      <c r="F295" s="221"/>
    </row>
    <row r="296" spans="1:6" s="79" customFormat="1">
      <c r="A296" s="321"/>
      <c r="B296" s="628" t="s">
        <v>551</v>
      </c>
      <c r="C296" s="153">
        <v>14.65</v>
      </c>
      <c r="D296" s="78">
        <v>6.86</v>
      </c>
      <c r="E296" s="78">
        <f>ROUNDDOWN(D296*C296,2)</f>
        <v>100.49</v>
      </c>
      <c r="F296" s="148"/>
    </row>
    <row r="297" spans="1:6" s="79" customFormat="1">
      <c r="A297" s="321"/>
      <c r="B297" s="628" t="s">
        <v>546</v>
      </c>
      <c r="C297" s="635">
        <v>10.48</v>
      </c>
      <c r="D297" s="78">
        <v>12.41</v>
      </c>
      <c r="E297" s="78">
        <f t="shared" ref="E297" si="9">ROUNDDOWN(D297*C297,2)</f>
        <v>130.05000000000001</v>
      </c>
      <c r="F297" s="148"/>
    </row>
    <row r="298" spans="1:6" s="79" customFormat="1" ht="13.5" thickBot="1">
      <c r="A298" s="492"/>
      <c r="B298" s="274" t="s">
        <v>547</v>
      </c>
      <c r="C298" s="809" t="s">
        <v>104</v>
      </c>
      <c r="D298" s="810"/>
      <c r="E298" s="86">
        <v>132.75</v>
      </c>
      <c r="F298" s="149"/>
    </row>
    <row r="299" spans="1:6" s="79" customFormat="1" ht="54.75" customHeight="1" thickBot="1">
      <c r="A299" s="72" t="s">
        <v>275</v>
      </c>
      <c r="B299" s="784" t="s">
        <v>276</v>
      </c>
      <c r="C299" s="784"/>
      <c r="D299" s="784"/>
      <c r="E299" s="73" t="s">
        <v>87</v>
      </c>
      <c r="F299" s="74">
        <f>ROUNDDOWN(E301+E302+E303+E304+E305+E306+E307+E308,2)</f>
        <v>555.95000000000005</v>
      </c>
    </row>
    <row r="300" spans="1:6" s="79" customFormat="1">
      <c r="A300" s="276"/>
      <c r="B300" s="126" t="s">
        <v>83</v>
      </c>
      <c r="C300" s="75" t="s">
        <v>84</v>
      </c>
      <c r="D300" s="82" t="s">
        <v>94</v>
      </c>
      <c r="E300" s="155" t="s">
        <v>13</v>
      </c>
      <c r="F300" s="127"/>
    </row>
    <row r="301" spans="1:6" s="79" customFormat="1">
      <c r="A301" s="122"/>
      <c r="B301" s="622" t="s">
        <v>551</v>
      </c>
      <c r="C301" s="78">
        <v>14.65</v>
      </c>
      <c r="D301" s="78">
        <v>6.86</v>
      </c>
      <c r="E301" s="78">
        <f>ROUNDDOWN(D301*C301,2)</f>
        <v>100.49</v>
      </c>
      <c r="F301" s="96"/>
    </row>
    <row r="302" spans="1:6" s="79" customFormat="1">
      <c r="A302" s="103"/>
      <c r="B302" s="622" t="s">
        <v>546</v>
      </c>
      <c r="C302" s="635">
        <v>10.48</v>
      </c>
      <c r="D302" s="78">
        <v>12.41</v>
      </c>
      <c r="E302" s="78">
        <f t="shared" ref="E302" si="10">ROUNDDOWN(D302*C302,2)</f>
        <v>130.05000000000001</v>
      </c>
      <c r="F302" s="78"/>
    </row>
    <row r="303" spans="1:6" s="79" customFormat="1">
      <c r="A303" s="103"/>
      <c r="B303" s="622" t="s">
        <v>547</v>
      </c>
      <c r="C303" s="793" t="s">
        <v>104</v>
      </c>
      <c r="D303" s="793"/>
      <c r="E303" s="78">
        <v>132.75</v>
      </c>
      <c r="F303" s="78"/>
    </row>
    <row r="304" spans="1:6" s="79" customFormat="1">
      <c r="A304" s="794" t="s">
        <v>539</v>
      </c>
      <c r="B304" s="794"/>
      <c r="C304" s="636">
        <v>4.4000000000000004</v>
      </c>
      <c r="D304" s="78">
        <v>5.76</v>
      </c>
      <c r="E304" s="78">
        <f t="shared" ref="E304:E308" si="11">ROUNDDOWN(D304*C304,2)</f>
        <v>25.34</v>
      </c>
      <c r="F304" s="78"/>
    </row>
    <row r="305" spans="1:6" s="79" customFormat="1">
      <c r="A305" s="794" t="s">
        <v>540</v>
      </c>
      <c r="B305" s="794"/>
      <c r="C305" s="635">
        <v>2.57</v>
      </c>
      <c r="D305" s="78">
        <v>6.75</v>
      </c>
      <c r="E305" s="78">
        <f t="shared" si="11"/>
        <v>17.34</v>
      </c>
      <c r="F305" s="78"/>
    </row>
    <row r="306" spans="1:6" s="79" customFormat="1" ht="15">
      <c r="A306" s="794" t="s">
        <v>542</v>
      </c>
      <c r="B306" s="795"/>
      <c r="C306" s="635">
        <v>3.27</v>
      </c>
      <c r="D306" s="78">
        <v>1.4</v>
      </c>
      <c r="E306" s="78">
        <f t="shared" si="11"/>
        <v>4.57</v>
      </c>
      <c r="F306" s="78"/>
    </row>
    <row r="307" spans="1:6" s="79" customFormat="1" ht="15">
      <c r="A307" s="794" t="s">
        <v>543</v>
      </c>
      <c r="B307" s="795"/>
      <c r="C307" s="635">
        <v>4.53</v>
      </c>
      <c r="D307" s="78">
        <v>1.4</v>
      </c>
      <c r="E307" s="78">
        <f t="shared" si="11"/>
        <v>6.34</v>
      </c>
      <c r="F307" s="78"/>
    </row>
    <row r="308" spans="1:6" s="79" customFormat="1" ht="13.5" thickBot="1">
      <c r="A308" s="204"/>
      <c r="B308" s="407" t="s">
        <v>550</v>
      </c>
      <c r="C308" s="637">
        <v>19.37</v>
      </c>
      <c r="D308" s="86">
        <v>7.18</v>
      </c>
      <c r="E308" s="86">
        <f t="shared" si="11"/>
        <v>139.07</v>
      </c>
      <c r="F308" s="86"/>
    </row>
    <row r="309" spans="1:6" s="79" customFormat="1" ht="13.5" thickBot="1">
      <c r="A309" s="72">
        <v>72107</v>
      </c>
      <c r="B309" s="784" t="s">
        <v>277</v>
      </c>
      <c r="C309" s="784"/>
      <c r="D309" s="784"/>
      <c r="E309" s="73" t="s">
        <v>17</v>
      </c>
      <c r="F309" s="74">
        <f>ROUNDDOWN(E311+E312,2)</f>
        <v>79.680000000000007</v>
      </c>
    </row>
    <row r="310" spans="1:6" s="79" customFormat="1" ht="15" customHeight="1">
      <c r="A310" s="80"/>
      <c r="B310" s="126" t="s">
        <v>83</v>
      </c>
      <c r="C310" s="796" t="s">
        <v>84</v>
      </c>
      <c r="D310" s="797"/>
      <c r="E310" s="126" t="s">
        <v>13</v>
      </c>
      <c r="F310" s="223"/>
    </row>
    <row r="311" spans="1:6" s="79" customFormat="1">
      <c r="A311" s="970" t="s">
        <v>467</v>
      </c>
      <c r="B311" s="622" t="s">
        <v>551</v>
      </c>
      <c r="C311" s="904" t="s">
        <v>342</v>
      </c>
      <c r="D311" s="905"/>
      <c r="E311" s="156">
        <f>14.65+6.61+6.75+6.06+0.43</f>
        <v>34.5</v>
      </c>
      <c r="F311" s="78"/>
    </row>
    <row r="312" spans="1:6" s="79" customFormat="1" ht="26.25" thickBot="1">
      <c r="A312" s="971"/>
      <c r="B312" s="639" t="s">
        <v>435</v>
      </c>
      <c r="C312" s="904" t="s">
        <v>342</v>
      </c>
      <c r="D312" s="905"/>
      <c r="E312" s="81">
        <v>45.18</v>
      </c>
      <c r="F312" s="78"/>
    </row>
    <row r="313" spans="1:6" s="79" customFormat="1" ht="39.75" customHeight="1" thickBot="1">
      <c r="A313" s="72">
        <v>72081</v>
      </c>
      <c r="B313" s="784" t="s">
        <v>548</v>
      </c>
      <c r="C313" s="784"/>
      <c r="D313" s="784"/>
      <c r="E313" s="73" t="s">
        <v>87</v>
      </c>
      <c r="F313" s="74">
        <f>ROUNDDOWN(E315+E316+E317+E318,2)</f>
        <v>53.59</v>
      </c>
    </row>
    <row r="314" spans="1:6" s="79" customFormat="1">
      <c r="A314" s="796" t="s">
        <v>83</v>
      </c>
      <c r="B314" s="797"/>
      <c r="C314" s="624" t="s">
        <v>84</v>
      </c>
      <c r="D314" s="102" t="s">
        <v>94</v>
      </c>
      <c r="E314" s="116" t="s">
        <v>13</v>
      </c>
      <c r="F314" s="78"/>
    </row>
    <row r="315" spans="1:6" s="79" customFormat="1">
      <c r="A315" s="791" t="s">
        <v>539</v>
      </c>
      <c r="B315" s="798"/>
      <c r="C315" s="636">
        <v>4.4000000000000004</v>
      </c>
      <c r="D315" s="78">
        <v>5.76</v>
      </c>
      <c r="E315" s="78">
        <f t="shared" ref="E315:E318" si="12">ROUNDDOWN(D315*C315,2)</f>
        <v>25.34</v>
      </c>
      <c r="F315" s="78"/>
    </row>
    <row r="316" spans="1:6" s="79" customFormat="1" ht="12.75" customHeight="1">
      <c r="A316" s="794" t="s">
        <v>540</v>
      </c>
      <c r="B316" s="794"/>
      <c r="C316" s="635">
        <v>2.57</v>
      </c>
      <c r="D316" s="78">
        <v>6.75</v>
      </c>
      <c r="E316" s="78">
        <f t="shared" si="12"/>
        <v>17.34</v>
      </c>
      <c r="F316" s="78"/>
    </row>
    <row r="317" spans="1:6" s="79" customFormat="1" ht="12.75" customHeight="1">
      <c r="A317" s="791" t="s">
        <v>542</v>
      </c>
      <c r="B317" s="792"/>
      <c r="C317" s="637">
        <v>3.27</v>
      </c>
      <c r="D317" s="86">
        <v>1.4</v>
      </c>
      <c r="E317" s="78">
        <f t="shared" si="12"/>
        <v>4.57</v>
      </c>
      <c r="F317" s="78"/>
    </row>
    <row r="318" spans="1:6" s="79" customFormat="1" ht="12.75" customHeight="1" thickBot="1">
      <c r="A318" s="791" t="s">
        <v>543</v>
      </c>
      <c r="B318" s="792"/>
      <c r="C318" s="637">
        <v>4.53</v>
      </c>
      <c r="D318" s="86">
        <v>1.4</v>
      </c>
      <c r="E318" s="78">
        <f t="shared" si="12"/>
        <v>6.34</v>
      </c>
      <c r="F318" s="86"/>
    </row>
    <row r="319" spans="1:6" s="79" customFormat="1" ht="40.5" customHeight="1" thickBot="1">
      <c r="A319" s="72">
        <v>72084</v>
      </c>
      <c r="B319" s="784" t="s">
        <v>549</v>
      </c>
      <c r="C319" s="784"/>
      <c r="D319" s="784"/>
      <c r="E319" s="73" t="s">
        <v>87</v>
      </c>
      <c r="F319" s="74">
        <f>ROUNDDOWN(E321,2)</f>
        <v>139.07</v>
      </c>
    </row>
    <row r="320" spans="1:6" s="79" customFormat="1">
      <c r="A320" s="623"/>
      <c r="B320" s="624" t="s">
        <v>83</v>
      </c>
      <c r="C320" s="624" t="s">
        <v>84</v>
      </c>
      <c r="D320" s="102" t="s">
        <v>94</v>
      </c>
      <c r="E320" s="116" t="s">
        <v>13</v>
      </c>
      <c r="F320" s="78"/>
    </row>
    <row r="321" spans="1:6" s="79" customFormat="1" ht="13.5" thickBot="1">
      <c r="A321" s="407"/>
      <c r="B321" s="407" t="s">
        <v>550</v>
      </c>
      <c r="C321" s="637">
        <v>19.37</v>
      </c>
      <c r="D321" s="86">
        <v>7.18</v>
      </c>
      <c r="E321" s="86">
        <f t="shared" ref="E321" si="13">ROUNDDOWN(D321*C321,2)</f>
        <v>139.07</v>
      </c>
      <c r="F321" s="86"/>
    </row>
    <row r="322" spans="1:6" s="79" customFormat="1" ht="51.75" customHeight="1" thickBot="1">
      <c r="A322" s="72" t="s">
        <v>563</v>
      </c>
      <c r="B322" s="784" t="s">
        <v>564</v>
      </c>
      <c r="C322" s="784"/>
      <c r="D322" s="784"/>
      <c r="E322" s="73" t="s">
        <v>99</v>
      </c>
      <c r="F322" s="74">
        <f>ROUNDDOWN(D324+D325,2)</f>
        <v>43.33</v>
      </c>
    </row>
    <row r="323" spans="1:6" s="79" customFormat="1">
      <c r="A323" s="796" t="s">
        <v>83</v>
      </c>
      <c r="B323" s="797"/>
      <c r="C323" s="627" t="s">
        <v>84</v>
      </c>
      <c r="D323" s="116" t="s">
        <v>13</v>
      </c>
      <c r="E323" s="78"/>
      <c r="F323" s="78"/>
    </row>
    <row r="324" spans="1:6" s="79" customFormat="1" ht="25.5">
      <c r="A324" s="808" t="s">
        <v>544</v>
      </c>
      <c r="B324" s="798"/>
      <c r="C324" s="635" t="s">
        <v>545</v>
      </c>
      <c r="D324" s="635">
        <f>2.49+2.49+3.39+3.39</f>
        <v>11.760000000000002</v>
      </c>
      <c r="E324" s="78"/>
      <c r="F324" s="78"/>
    </row>
    <row r="325" spans="1:6" s="79" customFormat="1" ht="26.25" thickBot="1">
      <c r="A325" s="833" t="s">
        <v>538</v>
      </c>
      <c r="B325" s="834"/>
      <c r="C325" s="637" t="s">
        <v>545</v>
      </c>
      <c r="D325" s="637">
        <f>ROUNDDOWN((7.41*4)+1.93,2)</f>
        <v>31.57</v>
      </c>
      <c r="E325" s="86"/>
      <c r="F325" s="86"/>
    </row>
    <row r="326" spans="1:6" s="79" customFormat="1" ht="13.5" thickBot="1">
      <c r="A326" s="71">
        <v>9</v>
      </c>
      <c r="B326" s="826" t="s">
        <v>67</v>
      </c>
      <c r="C326" s="782"/>
      <c r="D326" s="782"/>
      <c r="E326" s="782"/>
      <c r="F326" s="783"/>
    </row>
    <row r="327" spans="1:6" s="79" customFormat="1" ht="13.5" customHeight="1" thickBot="1">
      <c r="A327" s="72">
        <v>110210</v>
      </c>
      <c r="B327" s="814" t="s">
        <v>68</v>
      </c>
      <c r="C327" s="815"/>
      <c r="D327" s="816"/>
      <c r="E327" s="73" t="s">
        <v>87</v>
      </c>
      <c r="F327" s="128">
        <f>ROUNDDOWN(E329+E330+E331+E332+E333+E334,2)</f>
        <v>162.04</v>
      </c>
    </row>
    <row r="328" spans="1:6">
      <c r="A328" s="80"/>
      <c r="B328" s="75" t="s">
        <v>83</v>
      </c>
      <c r="C328" s="75" t="s">
        <v>84</v>
      </c>
      <c r="D328" s="82" t="s">
        <v>85</v>
      </c>
      <c r="E328" s="106" t="s">
        <v>23</v>
      </c>
      <c r="F328" s="95"/>
    </row>
    <row r="329" spans="1:6">
      <c r="A329" s="103"/>
      <c r="B329" s="489" t="s">
        <v>343</v>
      </c>
      <c r="C329" s="78">
        <v>7</v>
      </c>
      <c r="D329" s="78">
        <v>6</v>
      </c>
      <c r="E329" s="114">
        <f>ROUNDDOWN(D329*C329,2)</f>
        <v>42</v>
      </c>
      <c r="F329" s="491"/>
    </row>
    <row r="330" spans="1:6">
      <c r="A330" s="85"/>
      <c r="B330" s="274" t="s">
        <v>349</v>
      </c>
      <c r="C330" s="904" t="s">
        <v>104</v>
      </c>
      <c r="D330" s="905"/>
      <c r="E330" s="110">
        <v>7.47</v>
      </c>
      <c r="F330" s="111"/>
    </row>
    <row r="331" spans="1:6">
      <c r="A331" s="103"/>
      <c r="B331" s="629" t="s">
        <v>347</v>
      </c>
      <c r="C331" s="635">
        <v>4.87</v>
      </c>
      <c r="D331" s="635">
        <v>5.85</v>
      </c>
      <c r="E331" s="114">
        <f>ROUNDDOWN(D331*C331,2)</f>
        <v>28.48</v>
      </c>
      <c r="F331" s="632"/>
    </row>
    <row r="332" spans="1:6">
      <c r="A332" s="103"/>
      <c r="B332" s="204" t="s">
        <v>348</v>
      </c>
      <c r="C332" s="637">
        <v>4.82</v>
      </c>
      <c r="D332" s="637">
        <v>5.85</v>
      </c>
      <c r="E332" s="114">
        <f>ROUNDDOWN(D332*C332,2)</f>
        <v>28.19</v>
      </c>
      <c r="F332" s="632"/>
    </row>
    <row r="333" spans="1:6">
      <c r="A333" s="103"/>
      <c r="B333" s="629" t="s">
        <v>116</v>
      </c>
      <c r="C333" s="635">
        <v>4.87</v>
      </c>
      <c r="D333" s="635">
        <v>5.77</v>
      </c>
      <c r="E333" s="114">
        <f>ROUNDDOWN(D333*C333,2)</f>
        <v>28.09</v>
      </c>
      <c r="F333" s="632"/>
    </row>
    <row r="334" spans="1:6" ht="13.5" thickBot="1">
      <c r="A334" s="85"/>
      <c r="B334" s="629" t="s">
        <v>153</v>
      </c>
      <c r="C334" s="637">
        <v>4.82</v>
      </c>
      <c r="D334" s="635">
        <v>5.77</v>
      </c>
      <c r="E334" s="114">
        <f>ROUNDDOWN(D334*C334,2)</f>
        <v>27.81</v>
      </c>
      <c r="F334" s="111"/>
    </row>
    <row r="335" spans="1:6" ht="13.5" thickBot="1">
      <c r="A335" s="71">
        <v>10</v>
      </c>
      <c r="B335" s="826" t="s">
        <v>69</v>
      </c>
      <c r="C335" s="782"/>
      <c r="D335" s="782"/>
      <c r="E335" s="782"/>
      <c r="F335" s="783"/>
    </row>
    <row r="336" spans="1:6" s="79" customFormat="1" ht="30" customHeight="1" thickBot="1">
      <c r="A336" s="72">
        <v>120101</v>
      </c>
      <c r="B336" s="784" t="s">
        <v>559</v>
      </c>
      <c r="C336" s="784"/>
      <c r="D336" s="784"/>
      <c r="E336" s="73" t="s">
        <v>87</v>
      </c>
      <c r="F336" s="74">
        <f>ROUNDDOWN(F338+F339+F340+F341+F342+F343+F344+F345+F346+F347+F348+F350+F351+F352+F353+F354+F355+F356+F357,2)</f>
        <v>380.16</v>
      </c>
    </row>
    <row r="337" spans="1:6" ht="25.5">
      <c r="A337" s="80"/>
      <c r="B337" s="116" t="s">
        <v>83</v>
      </c>
      <c r="C337" s="117" t="s">
        <v>84</v>
      </c>
      <c r="D337" s="643" t="s">
        <v>455</v>
      </c>
      <c r="E337" s="117" t="s">
        <v>102</v>
      </c>
      <c r="F337" s="95" t="s">
        <v>13</v>
      </c>
    </row>
    <row r="338" spans="1:6">
      <c r="A338" s="863" t="s">
        <v>322</v>
      </c>
      <c r="B338" s="370" t="s">
        <v>330</v>
      </c>
      <c r="C338" s="78">
        <v>7.26</v>
      </c>
      <c r="D338" s="78">
        <v>3.08</v>
      </c>
      <c r="E338" s="115">
        <f>ROUNDDOWN(1.1*2*2-2,2)</f>
        <v>2.4</v>
      </c>
      <c r="F338" s="290">
        <f>ROUNDDOWN(((C338*D338)-E338)*2,2)</f>
        <v>39.92</v>
      </c>
    </row>
    <row r="339" spans="1:6" ht="25.5">
      <c r="A339" s="864"/>
      <c r="B339" s="631" t="s">
        <v>331</v>
      </c>
      <c r="C339" s="875">
        <v>19.61</v>
      </c>
      <c r="D339" s="876"/>
      <c r="E339" s="115">
        <f>ROUNDDOWN(1.1*1.6*2-2,2)</f>
        <v>1.52</v>
      </c>
      <c r="F339" s="290">
        <f>ROUNDDOWN((C339-E339)*2,2)</f>
        <v>36.18</v>
      </c>
    </row>
    <row r="340" spans="1:6" ht="26.25" thickBot="1">
      <c r="A340" s="865"/>
      <c r="B340" s="648" t="s">
        <v>152</v>
      </c>
      <c r="C340" s="882">
        <v>17.87</v>
      </c>
      <c r="D340" s="883"/>
      <c r="E340" s="338"/>
      <c r="F340" s="655">
        <f>ROUNDDOWN((C340-E340)*2,2)</f>
        <v>35.74</v>
      </c>
    </row>
    <row r="341" spans="1:6" ht="13.5" thickBot="1">
      <c r="A341" s="371" t="s">
        <v>326</v>
      </c>
      <c r="B341" s="384" t="s">
        <v>332</v>
      </c>
      <c r="C341" s="343">
        <v>1.6</v>
      </c>
      <c r="D341" s="343">
        <v>3.27</v>
      </c>
      <c r="E341" s="344">
        <f>ROUNDDOWN((0.8*2.1)+(0.6*0.7)-2,2)</f>
        <v>0.1</v>
      </c>
      <c r="F341" s="345">
        <f>ROUNDDOWN(((C341*D341)-E341)*2,2)</f>
        <v>10.26</v>
      </c>
    </row>
    <row r="342" spans="1:6">
      <c r="A342" s="859" t="s">
        <v>333</v>
      </c>
      <c r="B342" s="315" t="s">
        <v>330</v>
      </c>
      <c r="C342" s="342">
        <v>3.59</v>
      </c>
      <c r="D342" s="90">
        <v>3.08</v>
      </c>
      <c r="E342" s="337"/>
      <c r="F342" s="102">
        <f>ROUNDDOWN((D342*C342)*2,2)</f>
        <v>22.11</v>
      </c>
    </row>
    <row r="343" spans="1:6">
      <c r="A343" s="859"/>
      <c r="B343" s="108" t="s">
        <v>393</v>
      </c>
      <c r="C343" s="118">
        <v>3.66</v>
      </c>
      <c r="D343" s="78">
        <v>2.98</v>
      </c>
      <c r="E343" s="120"/>
      <c r="F343" s="102">
        <f>ROUNDDOWN((D343*C343)*2,2)</f>
        <v>21.81</v>
      </c>
    </row>
    <row r="344" spans="1:6">
      <c r="A344" s="859"/>
      <c r="B344" s="108" t="s">
        <v>394</v>
      </c>
      <c r="C344" s="118">
        <v>3.66</v>
      </c>
      <c r="D344" s="78">
        <v>2.98</v>
      </c>
      <c r="E344" s="120"/>
      <c r="F344" s="102">
        <f>ROUNDDOWN((D344*C344)*2,2)</f>
        <v>21.81</v>
      </c>
    </row>
    <row r="345" spans="1:6" ht="13.5" thickBot="1">
      <c r="A345" s="861"/>
      <c r="B345" s="327" t="s">
        <v>395</v>
      </c>
      <c r="C345" s="374">
        <v>3.66</v>
      </c>
      <c r="D345" s="100">
        <v>2.98</v>
      </c>
      <c r="E345" s="211"/>
      <c r="F345" s="102">
        <f>ROUNDDOWN((D345*C345)*2,2)</f>
        <v>21.81</v>
      </c>
    </row>
    <row r="346" spans="1:6" ht="13.5" thickBot="1">
      <c r="A346" s="379" t="s">
        <v>329</v>
      </c>
      <c r="B346" s="375" t="s">
        <v>334</v>
      </c>
      <c r="C346" s="376">
        <f>2.6+0.4</f>
        <v>3</v>
      </c>
      <c r="D346" s="377">
        <v>0.55000000000000004</v>
      </c>
      <c r="E346" s="378"/>
      <c r="F346" s="102">
        <f>ROUNDDOWN((D346*C346)*2,2)</f>
        <v>3.3</v>
      </c>
    </row>
    <row r="347" spans="1:6">
      <c r="A347" s="872" t="s">
        <v>327</v>
      </c>
      <c r="B347" s="385" t="s">
        <v>335</v>
      </c>
      <c r="C347" s="372">
        <v>0.73</v>
      </c>
      <c r="D347" s="373">
        <v>2.98</v>
      </c>
      <c r="E347" s="350"/>
      <c r="F347" s="383">
        <f>(D347*C347)*2+(0.13*D347)</f>
        <v>4.7382</v>
      </c>
    </row>
    <row r="348" spans="1:6" ht="12.75" customHeight="1">
      <c r="A348" s="873"/>
      <c r="B348" s="274" t="s">
        <v>409</v>
      </c>
      <c r="C348" s="158">
        <v>3.95</v>
      </c>
      <c r="D348" s="86">
        <v>0.73</v>
      </c>
      <c r="E348" s="121"/>
      <c r="F348" s="387">
        <f>(D348*C348)+(0.15*C348)</f>
        <v>3.476</v>
      </c>
    </row>
    <row r="349" spans="1:6" ht="12.75" customHeight="1" thickBot="1">
      <c r="A349" s="874"/>
      <c r="B349" s="327" t="s">
        <v>413</v>
      </c>
      <c r="C349" s="470">
        <v>3.95</v>
      </c>
      <c r="D349" s="100">
        <v>0.63</v>
      </c>
      <c r="E349" s="211"/>
      <c r="F349" s="472">
        <f>((D349*C349)*6)+((0.15*C349)*3)+(C349*0.73)+(0.1*C349)</f>
        <v>19.987000000000002</v>
      </c>
    </row>
    <row r="350" spans="1:6" ht="13.5" customHeight="1" thickBot="1">
      <c r="A350" s="858" t="s">
        <v>336</v>
      </c>
      <c r="B350" s="859"/>
      <c r="C350" s="468">
        <v>14.05</v>
      </c>
      <c r="D350" s="81">
        <v>4.18</v>
      </c>
      <c r="E350" s="349"/>
      <c r="F350" s="343">
        <f>ROUNDDOWN(D350*C350,2)</f>
        <v>58.72</v>
      </c>
    </row>
    <row r="351" spans="1:6" ht="15.75" customHeight="1" thickBot="1">
      <c r="A351" s="860"/>
      <c r="B351" s="861"/>
      <c r="C351" s="374">
        <v>14.05</v>
      </c>
      <c r="D351" s="100">
        <f>4.18-2.07</f>
        <v>2.11</v>
      </c>
      <c r="E351" s="211"/>
      <c r="F351" s="343">
        <f>ROUNDDOWN(D351*C351,2)</f>
        <v>29.64</v>
      </c>
    </row>
    <row r="352" spans="1:6" ht="13.5" thickBot="1">
      <c r="A352" s="909" t="s">
        <v>337</v>
      </c>
      <c r="B352" s="910"/>
      <c r="C352" s="376">
        <f>6.26+13.92</f>
        <v>20.18</v>
      </c>
      <c r="D352" s="377">
        <v>0.42</v>
      </c>
      <c r="E352" s="378"/>
      <c r="F352" s="343">
        <f>ROUNDDOWN(D352*C352,2)</f>
        <v>8.4700000000000006</v>
      </c>
    </row>
    <row r="353" spans="1:6" ht="15.75" customHeight="1" thickBot="1">
      <c r="A353" s="900" t="s">
        <v>369</v>
      </c>
      <c r="B353" s="901"/>
      <c r="C353" s="376">
        <v>4</v>
      </c>
      <c r="D353" s="377">
        <v>1</v>
      </c>
      <c r="E353" s="378"/>
      <c r="F353" s="343">
        <f>ROUNDDOWN(D353*C353,2)</f>
        <v>4</v>
      </c>
    </row>
    <row r="354" spans="1:6" ht="30" customHeight="1" thickBot="1">
      <c r="A354" s="466" t="s">
        <v>387</v>
      </c>
      <c r="B354" s="467" t="s">
        <v>390</v>
      </c>
      <c r="C354" s="919" t="s">
        <v>104</v>
      </c>
      <c r="D354" s="920"/>
      <c r="E354" s="378"/>
      <c r="F354" s="343">
        <f>((3.95-1.68-2.2)+(6.7-1.68-2.2)+(3.94*2.96))*2</f>
        <v>29.104800000000001</v>
      </c>
    </row>
    <row r="355" spans="1:6" ht="13.5" thickBot="1">
      <c r="A355" s="466"/>
      <c r="B355" s="497" t="s">
        <v>451</v>
      </c>
      <c r="C355" s="376">
        <v>6.31</v>
      </c>
      <c r="D355" s="376">
        <f>0.8+0.5</f>
        <v>1.3</v>
      </c>
      <c r="E355" s="378"/>
      <c r="F355" s="343">
        <f>ROUNDDOWN(D355*C355,2)</f>
        <v>8.1999999999999993</v>
      </c>
    </row>
    <row r="356" spans="1:6">
      <c r="A356" s="799" t="s">
        <v>424</v>
      </c>
      <c r="B356" s="496" t="s">
        <v>472</v>
      </c>
      <c r="C356" s="342">
        <v>1.1000000000000001</v>
      </c>
      <c r="D356" s="342">
        <v>3</v>
      </c>
      <c r="E356" s="337"/>
      <c r="F356" s="102">
        <f>ROUNDDOWN((D356*C356)*2,2)</f>
        <v>6.6</v>
      </c>
    </row>
    <row r="357" spans="1:6" ht="13.5" thickBot="1">
      <c r="A357" s="800"/>
      <c r="B357" s="495" t="s">
        <v>431</v>
      </c>
      <c r="C357" s="158">
        <v>2.38</v>
      </c>
      <c r="D357" s="158">
        <v>3</v>
      </c>
      <c r="E357" s="121"/>
      <c r="F357" s="102">
        <f>ROUNDDOWN((D357*C357)*2,2)</f>
        <v>14.28</v>
      </c>
    </row>
    <row r="358" spans="1:6" s="79" customFormat="1" ht="69.75" customHeight="1" thickBot="1">
      <c r="A358" s="72">
        <v>87267</v>
      </c>
      <c r="B358" s="784" t="s">
        <v>463</v>
      </c>
      <c r="C358" s="784"/>
      <c r="D358" s="784"/>
      <c r="E358" s="73" t="s">
        <v>87</v>
      </c>
      <c r="F358" s="74">
        <f>ROUNDDOWN(E360+E361+E362+E363+E364+E365,2)</f>
        <v>102.85</v>
      </c>
    </row>
    <row r="359" spans="1:6" ht="15" customHeight="1">
      <c r="A359" s="80"/>
      <c r="B359" s="75" t="s">
        <v>83</v>
      </c>
      <c r="C359" s="75" t="s">
        <v>132</v>
      </c>
      <c r="D359" s="116" t="s">
        <v>90</v>
      </c>
      <c r="E359" s="75" t="s">
        <v>13</v>
      </c>
      <c r="F359" s="95"/>
    </row>
    <row r="360" spans="1:6">
      <c r="A360" s="103"/>
      <c r="B360" s="108" t="s">
        <v>326</v>
      </c>
      <c r="C360" s="369">
        <f>7.2-0.8</f>
        <v>6.4</v>
      </c>
      <c r="D360" s="113">
        <v>1.6</v>
      </c>
      <c r="E360" s="632">
        <f>ROUNDDOWN(D360*C360,2)</f>
        <v>10.24</v>
      </c>
      <c r="F360" s="369"/>
    </row>
    <row r="361" spans="1:6" ht="25.5">
      <c r="A361" s="103"/>
      <c r="B361" s="629" t="s">
        <v>468</v>
      </c>
      <c r="C361" s="78">
        <v>10.51</v>
      </c>
      <c r="D361" s="78">
        <v>2.98</v>
      </c>
      <c r="E361" s="369">
        <f>ROUNDDOWN(D361*C361,2)</f>
        <v>31.31</v>
      </c>
      <c r="F361" s="369"/>
    </row>
    <row r="362" spans="1:6" ht="25.5">
      <c r="A362" s="85"/>
      <c r="B362" s="204" t="s">
        <v>469</v>
      </c>
      <c r="C362" s="78">
        <v>10.51</v>
      </c>
      <c r="D362" s="78">
        <v>2.98</v>
      </c>
      <c r="E362" s="483">
        <f>ROUNDDOWN(D362*C362,2)</f>
        <v>31.31</v>
      </c>
      <c r="F362" s="111"/>
    </row>
    <row r="363" spans="1:6">
      <c r="A363" s="85"/>
      <c r="B363" s="204" t="s">
        <v>329</v>
      </c>
      <c r="C363" s="904" t="s">
        <v>104</v>
      </c>
      <c r="D363" s="905"/>
      <c r="E363" s="111">
        <f>1.45+0.28+1.32+2.86</f>
        <v>5.91</v>
      </c>
      <c r="F363" s="111"/>
    </row>
    <row r="364" spans="1:6" ht="30" customHeight="1">
      <c r="A364" s="801" t="s">
        <v>465</v>
      </c>
      <c r="B364" s="629" t="s">
        <v>457</v>
      </c>
      <c r="C364" s="111">
        <f>4.39-0.8+3.94</f>
        <v>7.5299999999999994</v>
      </c>
      <c r="D364" s="111">
        <v>1.6</v>
      </c>
      <c r="E364" s="632">
        <f>ROUNDDOWN(D364*C364,2)</f>
        <v>12.04</v>
      </c>
      <c r="F364" s="475"/>
    </row>
    <row r="365" spans="1:6" ht="27" customHeight="1" thickBot="1">
      <c r="A365" s="802"/>
      <c r="B365" s="204" t="s">
        <v>458</v>
      </c>
      <c r="C365" s="111">
        <f>4.39-0.8+3.94</f>
        <v>7.5299999999999994</v>
      </c>
      <c r="D365" s="111">
        <v>1.6</v>
      </c>
      <c r="E365" s="632">
        <f>ROUNDDOWN(D365*C365,2)</f>
        <v>12.04</v>
      </c>
      <c r="F365" s="111"/>
    </row>
    <row r="366" spans="1:6" s="79" customFormat="1" ht="81.75" customHeight="1" thickBot="1">
      <c r="A366" s="72">
        <v>87532</v>
      </c>
      <c r="B366" s="784" t="s">
        <v>279</v>
      </c>
      <c r="C366" s="784"/>
      <c r="D366" s="784"/>
      <c r="E366" s="73" t="s">
        <v>87</v>
      </c>
      <c r="F366" s="74">
        <f>ROUNDDOWN(E368,2)</f>
        <v>5.91</v>
      </c>
    </row>
    <row r="367" spans="1:6">
      <c r="A367" s="122"/>
      <c r="B367" s="75" t="s">
        <v>83</v>
      </c>
      <c r="C367" s="75" t="s">
        <v>132</v>
      </c>
      <c r="D367" s="116" t="s">
        <v>90</v>
      </c>
      <c r="E367" s="75" t="s">
        <v>13</v>
      </c>
      <c r="F367" s="119"/>
    </row>
    <row r="368" spans="1:6" ht="13.5" thickBot="1">
      <c r="A368" s="85"/>
      <c r="B368" s="204" t="s">
        <v>329</v>
      </c>
      <c r="C368" s="904" t="s">
        <v>104</v>
      </c>
      <c r="D368" s="905"/>
      <c r="E368" s="111">
        <f>1.45+0.28+1.32+2.86</f>
        <v>5.91</v>
      </c>
      <c r="F368" s="111"/>
    </row>
    <row r="369" spans="1:6" ht="82.5" customHeight="1" thickBot="1">
      <c r="A369" s="72">
        <v>87536</v>
      </c>
      <c r="B369" s="784" t="s">
        <v>464</v>
      </c>
      <c r="C369" s="784"/>
      <c r="D369" s="784"/>
      <c r="E369" s="73" t="s">
        <v>87</v>
      </c>
      <c r="F369" s="74">
        <f>ROUNDDOWN(E371+E372+E373+E374+E375,2)</f>
        <v>96.94</v>
      </c>
    </row>
    <row r="370" spans="1:6">
      <c r="A370" s="103"/>
      <c r="B370" s="474" t="s">
        <v>83</v>
      </c>
      <c r="C370" s="474" t="s">
        <v>132</v>
      </c>
      <c r="D370" s="116" t="s">
        <v>90</v>
      </c>
      <c r="E370" s="474" t="s">
        <v>13</v>
      </c>
      <c r="F370" s="475"/>
    </row>
    <row r="371" spans="1:6">
      <c r="A371" s="103"/>
      <c r="B371" s="473" t="s">
        <v>326</v>
      </c>
      <c r="C371" s="475">
        <f>7.2-0.8</f>
        <v>6.4</v>
      </c>
      <c r="D371" s="113">
        <v>1.6</v>
      </c>
      <c r="E371" s="475">
        <f>ROUNDDOWN(D371*C371,2)</f>
        <v>10.24</v>
      </c>
      <c r="F371" s="475"/>
    </row>
    <row r="372" spans="1:6">
      <c r="A372" s="103"/>
      <c r="B372" s="473" t="s">
        <v>323</v>
      </c>
      <c r="C372" s="78">
        <v>10.51</v>
      </c>
      <c r="D372" s="78">
        <v>2.98</v>
      </c>
      <c r="E372" s="483">
        <f>ROUNDDOWN(D372*C372,2)</f>
        <v>31.31</v>
      </c>
      <c r="F372" s="475"/>
    </row>
    <row r="373" spans="1:6">
      <c r="A373" s="103"/>
      <c r="B373" s="274" t="s">
        <v>324</v>
      </c>
      <c r="C373" s="78">
        <v>10.51</v>
      </c>
      <c r="D373" s="78">
        <v>2.98</v>
      </c>
      <c r="E373" s="483">
        <f>ROUNDDOWN(D373*C373,2)</f>
        <v>31.31</v>
      </c>
      <c r="F373" s="475"/>
    </row>
    <row r="374" spans="1:6" ht="25.5">
      <c r="A374" s="103"/>
      <c r="B374" s="476" t="s">
        <v>457</v>
      </c>
      <c r="C374" s="111">
        <f>4.39-0.8+3.94</f>
        <v>7.5299999999999994</v>
      </c>
      <c r="D374" s="111">
        <v>1.6</v>
      </c>
      <c r="E374" s="632">
        <f t="shared" ref="E374:E375" si="14">ROUNDDOWN(D374*C374,2)</f>
        <v>12.04</v>
      </c>
      <c r="F374" s="475"/>
    </row>
    <row r="375" spans="1:6" ht="26.25" thickBot="1">
      <c r="A375" s="85"/>
      <c r="B375" s="204" t="s">
        <v>458</v>
      </c>
      <c r="C375" s="111">
        <f>4.39-0.8+3.94</f>
        <v>7.5299999999999994</v>
      </c>
      <c r="D375" s="111">
        <v>1.6</v>
      </c>
      <c r="E375" s="632">
        <f t="shared" si="14"/>
        <v>12.04</v>
      </c>
      <c r="F375" s="111"/>
    </row>
    <row r="376" spans="1:6" s="79" customFormat="1" ht="27" customHeight="1" thickBot="1">
      <c r="A376" s="72">
        <v>120303</v>
      </c>
      <c r="B376" s="784" t="s">
        <v>278</v>
      </c>
      <c r="C376" s="784"/>
      <c r="D376" s="784"/>
      <c r="E376" s="73" t="s">
        <v>87</v>
      </c>
      <c r="F376" s="74">
        <f>ROUNDDOWN(F336-F366-F369,2)</f>
        <v>277.31</v>
      </c>
    </row>
    <row r="377" spans="1:6" s="79" customFormat="1" ht="12.75" customHeight="1">
      <c r="A377" s="97"/>
      <c r="B377" s="649" t="s">
        <v>106</v>
      </c>
      <c r="C377" s="650"/>
      <c r="D377" s="221"/>
      <c r="E377" s="98"/>
      <c r="F377" s="99"/>
    </row>
    <row r="378" spans="1:6" s="79" customFormat="1" ht="12.75" customHeight="1" thickBot="1">
      <c r="A378" s="291"/>
      <c r="B378" s="932" t="s">
        <v>562</v>
      </c>
      <c r="C378" s="933"/>
      <c r="D378" s="651"/>
      <c r="E378" s="130"/>
      <c r="F378" s="76"/>
    </row>
    <row r="379" spans="1:6" s="79" customFormat="1" ht="12.75" customHeight="1" thickBot="1">
      <c r="A379" s="71">
        <v>11</v>
      </c>
      <c r="B379" s="826" t="s">
        <v>70</v>
      </c>
      <c r="C379" s="782"/>
      <c r="D379" s="782"/>
      <c r="E379" s="782"/>
      <c r="F379" s="783"/>
    </row>
    <row r="380" spans="1:6" s="79" customFormat="1" ht="54.75" customHeight="1" thickBot="1">
      <c r="A380" s="72">
        <v>87747</v>
      </c>
      <c r="B380" s="784" t="s">
        <v>281</v>
      </c>
      <c r="C380" s="784"/>
      <c r="D380" s="784"/>
      <c r="E380" s="73" t="s">
        <v>87</v>
      </c>
      <c r="F380" s="74">
        <f>ROUNDDOWN(E382+E383+E384,2)</f>
        <v>14.9</v>
      </c>
    </row>
    <row r="381" spans="1:6" s="79" customFormat="1">
      <c r="A381" s="97"/>
      <c r="B381" s="126" t="s">
        <v>83</v>
      </c>
      <c r="C381" s="75" t="s">
        <v>84</v>
      </c>
      <c r="D381" s="82" t="s">
        <v>85</v>
      </c>
      <c r="E381" s="155" t="s">
        <v>105</v>
      </c>
      <c r="F381" s="346"/>
    </row>
    <row r="382" spans="1:6">
      <c r="A382" s="103"/>
      <c r="B382" s="108" t="s">
        <v>326</v>
      </c>
      <c r="C382" s="369">
        <v>1.6</v>
      </c>
      <c r="D382" s="369">
        <v>2</v>
      </c>
      <c r="E382" s="369">
        <f>ROUNDDOWN(C382*D382,2)</f>
        <v>3.2</v>
      </c>
      <c r="F382" s="113"/>
    </row>
    <row r="383" spans="1:6">
      <c r="A383" s="103"/>
      <c r="B383" s="108" t="s">
        <v>323</v>
      </c>
      <c r="C383" s="369">
        <v>1.6</v>
      </c>
      <c r="D383" s="369">
        <v>3.66</v>
      </c>
      <c r="E383" s="369">
        <f>ROUNDDOWN(C383*D383,2)</f>
        <v>5.85</v>
      </c>
      <c r="F383" s="113"/>
    </row>
    <row r="384" spans="1:6" ht="13.5" thickBot="1">
      <c r="A384" s="85"/>
      <c r="B384" s="274" t="s">
        <v>324</v>
      </c>
      <c r="C384" s="369">
        <v>1.6</v>
      </c>
      <c r="D384" s="111">
        <v>3.66</v>
      </c>
      <c r="E384" s="369">
        <f>ROUNDDOWN(C384*D384,2)</f>
        <v>5.85</v>
      </c>
      <c r="F384" s="129"/>
    </row>
    <row r="385" spans="1:6" ht="66.75" customHeight="1" thickBot="1">
      <c r="A385" s="72">
        <v>87662</v>
      </c>
      <c r="B385" s="784" t="s">
        <v>294</v>
      </c>
      <c r="C385" s="784"/>
      <c r="D385" s="784"/>
      <c r="E385" s="73" t="s">
        <v>87</v>
      </c>
      <c r="F385" s="74">
        <f>E387</f>
        <v>42</v>
      </c>
    </row>
    <row r="386" spans="1:6">
      <c r="A386" s="103"/>
      <c r="B386" s="126" t="s">
        <v>83</v>
      </c>
      <c r="C386" s="75" t="s">
        <v>84</v>
      </c>
      <c r="D386" s="82" t="s">
        <v>85</v>
      </c>
      <c r="E386" s="155" t="s">
        <v>105</v>
      </c>
      <c r="F386" s="113"/>
    </row>
    <row r="387" spans="1:6" ht="13.5" thickBot="1">
      <c r="A387" s="103"/>
      <c r="B387" s="108" t="s">
        <v>343</v>
      </c>
      <c r="C387" s="369">
        <v>7</v>
      </c>
      <c r="D387" s="369">
        <v>6</v>
      </c>
      <c r="E387" s="78">
        <f>D387*C387</f>
        <v>42</v>
      </c>
      <c r="F387" s="113"/>
    </row>
    <row r="388" spans="1:6" s="79" customFormat="1" ht="13.5" thickBot="1">
      <c r="A388" s="72">
        <v>130112</v>
      </c>
      <c r="B388" s="784" t="s">
        <v>280</v>
      </c>
      <c r="C388" s="784"/>
      <c r="D388" s="784"/>
      <c r="E388" s="154" t="s">
        <v>107</v>
      </c>
      <c r="F388" s="74">
        <f>ROUNDDOWN(E390+E393+E394+E395+E392+E391+E396+E397+E398,2)</f>
        <v>112.87</v>
      </c>
    </row>
    <row r="389" spans="1:6">
      <c r="A389" s="80"/>
      <c r="B389" s="126" t="s">
        <v>83</v>
      </c>
      <c r="C389" s="75" t="s">
        <v>84</v>
      </c>
      <c r="D389" s="82" t="s">
        <v>85</v>
      </c>
      <c r="E389" s="155" t="s">
        <v>105</v>
      </c>
      <c r="F389" s="347"/>
    </row>
    <row r="390" spans="1:6">
      <c r="A390" s="92"/>
      <c r="B390" s="108" t="s">
        <v>326</v>
      </c>
      <c r="C390" s="369">
        <v>1.6</v>
      </c>
      <c r="D390" s="369">
        <v>2</v>
      </c>
      <c r="E390" s="369">
        <f>ROUNDDOWN(C390*D390,2)</f>
        <v>3.2</v>
      </c>
      <c r="F390" s="109"/>
    </row>
    <row r="391" spans="1:6">
      <c r="A391" s="92"/>
      <c r="B391" s="108" t="s">
        <v>323</v>
      </c>
      <c r="C391" s="369">
        <v>1.6</v>
      </c>
      <c r="D391" s="369">
        <v>3.66</v>
      </c>
      <c r="E391" s="369">
        <f>ROUNDDOWN(C391*D391,2)</f>
        <v>5.85</v>
      </c>
      <c r="F391" s="109"/>
    </row>
    <row r="392" spans="1:6">
      <c r="A392" s="92"/>
      <c r="B392" s="274" t="s">
        <v>324</v>
      </c>
      <c r="C392" s="369">
        <v>1.6</v>
      </c>
      <c r="D392" s="111">
        <v>3.66</v>
      </c>
      <c r="E392" s="369">
        <f>ROUNDDOWN(C392*D392,2)</f>
        <v>5.85</v>
      </c>
      <c r="F392" s="109"/>
    </row>
    <row r="393" spans="1:6">
      <c r="A393" s="92"/>
      <c r="B393" s="108" t="s">
        <v>343</v>
      </c>
      <c r="C393" s="369">
        <v>7</v>
      </c>
      <c r="D393" s="369">
        <v>6</v>
      </c>
      <c r="E393" s="632">
        <f>ROUNDDOWN(C393*D393,2)</f>
        <v>42</v>
      </c>
      <c r="F393" s="109"/>
    </row>
    <row r="394" spans="1:6">
      <c r="A394" s="103"/>
      <c r="B394" s="108" t="s">
        <v>344</v>
      </c>
      <c r="C394" s="896" t="s">
        <v>104</v>
      </c>
      <c r="D394" s="896"/>
      <c r="E394" s="78">
        <v>24.62</v>
      </c>
      <c r="F394" s="113"/>
    </row>
    <row r="395" spans="1:6">
      <c r="A395" s="85"/>
      <c r="B395" s="274" t="s">
        <v>313</v>
      </c>
      <c r="C395" s="150">
        <v>4.21</v>
      </c>
      <c r="D395" s="150">
        <v>2.97</v>
      </c>
      <c r="E395" s="632">
        <f>ROUNDDOWN(C395*D395,2)</f>
        <v>12.5</v>
      </c>
      <c r="F395" s="129"/>
    </row>
    <row r="396" spans="1:6">
      <c r="A396" s="103"/>
      <c r="B396" s="481" t="s">
        <v>438</v>
      </c>
      <c r="C396" s="889" t="s">
        <v>104</v>
      </c>
      <c r="D396" s="889"/>
      <c r="E396" s="488">
        <v>1.19</v>
      </c>
      <c r="F396" s="113"/>
    </row>
    <row r="397" spans="1:6">
      <c r="A397" s="103"/>
      <c r="B397" s="489" t="s">
        <v>447</v>
      </c>
      <c r="C397" s="494">
        <v>9.6</v>
      </c>
      <c r="D397" s="494">
        <v>1.2</v>
      </c>
      <c r="E397" s="632">
        <f>ROUNDDOWN(C397*D397,2)</f>
        <v>11.52</v>
      </c>
      <c r="F397" s="113"/>
    </row>
    <row r="398" spans="1:6" ht="26.25" thickBot="1">
      <c r="A398" s="85"/>
      <c r="B398" s="204" t="s">
        <v>474</v>
      </c>
      <c r="C398" s="482">
        <v>2.0699999999999998</v>
      </c>
      <c r="D398" s="482">
        <v>2.97</v>
      </c>
      <c r="E398" s="632">
        <f>ROUNDDOWN(C398*D398,2)</f>
        <v>6.14</v>
      </c>
      <c r="F398" s="129"/>
    </row>
    <row r="399" spans="1:6" s="79" customFormat="1" ht="54" customHeight="1" thickBot="1">
      <c r="A399" s="72" t="s">
        <v>470</v>
      </c>
      <c r="B399" s="784" t="s">
        <v>471</v>
      </c>
      <c r="C399" s="784"/>
      <c r="D399" s="784"/>
      <c r="E399" s="73" t="s">
        <v>87</v>
      </c>
      <c r="F399" s="74">
        <f>ROUNDDOWN(E401+E402+E403+E404+E405,2)</f>
        <v>55.97</v>
      </c>
    </row>
    <row r="400" spans="1:6">
      <c r="A400" s="80"/>
      <c r="B400" s="75" t="s">
        <v>83</v>
      </c>
      <c r="C400" s="75" t="s">
        <v>84</v>
      </c>
      <c r="D400" s="106" t="s">
        <v>85</v>
      </c>
      <c r="E400" s="75" t="s">
        <v>13</v>
      </c>
      <c r="F400" s="107"/>
    </row>
    <row r="401" spans="1:6">
      <c r="A401" s="103"/>
      <c r="B401" s="108" t="s">
        <v>344</v>
      </c>
      <c r="C401" s="896" t="s">
        <v>104</v>
      </c>
      <c r="D401" s="896"/>
      <c r="E401" s="78">
        <v>24.62</v>
      </c>
      <c r="F401" s="113"/>
    </row>
    <row r="402" spans="1:6" ht="25.5">
      <c r="A402" s="85"/>
      <c r="B402" s="204" t="s">
        <v>313</v>
      </c>
      <c r="C402" s="150">
        <v>4.21</v>
      </c>
      <c r="D402" s="150">
        <v>2.97</v>
      </c>
      <c r="E402" s="632">
        <f>ROUNDDOWN(C402*D402,2)</f>
        <v>12.5</v>
      </c>
      <c r="F402" s="129"/>
    </row>
    <row r="403" spans="1:6">
      <c r="A403" s="103"/>
      <c r="B403" s="481" t="s">
        <v>438</v>
      </c>
      <c r="C403" s="889" t="s">
        <v>104</v>
      </c>
      <c r="D403" s="889"/>
      <c r="E403" s="488">
        <v>1.19</v>
      </c>
      <c r="F403" s="113"/>
    </row>
    <row r="404" spans="1:6">
      <c r="A404" s="85"/>
      <c r="B404" s="274" t="s">
        <v>447</v>
      </c>
      <c r="C404" s="482">
        <v>9.6</v>
      </c>
      <c r="D404" s="482">
        <v>1.2</v>
      </c>
      <c r="E404" s="632">
        <f>ROUNDDOWN(C404*D404,2)</f>
        <v>11.52</v>
      </c>
      <c r="F404" s="129"/>
    </row>
    <row r="405" spans="1:6" ht="26.25" thickBot="1">
      <c r="A405" s="103"/>
      <c r="B405" s="629" t="s">
        <v>474</v>
      </c>
      <c r="C405" s="494">
        <v>2.0699999999999998</v>
      </c>
      <c r="D405" s="494">
        <v>2.97</v>
      </c>
      <c r="E405" s="632">
        <f>ROUNDDOWN(C405*D405,2)</f>
        <v>6.14</v>
      </c>
      <c r="F405" s="113"/>
    </row>
    <row r="406" spans="1:6" s="79" customFormat="1" ht="42" customHeight="1" thickBot="1">
      <c r="A406" s="72">
        <v>87246</v>
      </c>
      <c r="B406" s="784" t="s">
        <v>182</v>
      </c>
      <c r="C406" s="784"/>
      <c r="D406" s="784"/>
      <c r="E406" s="73" t="s">
        <v>87</v>
      </c>
      <c r="F406" s="74">
        <f>ROUNDDOWN(E408,2)</f>
        <v>3.2</v>
      </c>
    </row>
    <row r="407" spans="1:6">
      <c r="A407" s="132"/>
      <c r="B407" s="126" t="s">
        <v>83</v>
      </c>
      <c r="C407" s="75" t="s">
        <v>84</v>
      </c>
      <c r="D407" s="82" t="s">
        <v>85</v>
      </c>
      <c r="E407" s="155" t="s">
        <v>105</v>
      </c>
      <c r="F407" s="348"/>
    </row>
    <row r="408" spans="1:6" ht="13.5" thickBot="1">
      <c r="A408" s="133"/>
      <c r="B408" s="108" t="s">
        <v>326</v>
      </c>
      <c r="C408" s="369">
        <v>1.6</v>
      </c>
      <c r="D408" s="369">
        <v>2</v>
      </c>
      <c r="E408" s="369">
        <f>ROUNDDOWN(C408*D408,2)</f>
        <v>3.2</v>
      </c>
      <c r="F408" s="131"/>
    </row>
    <row r="409" spans="1:6" ht="53.25" customHeight="1" thickBot="1">
      <c r="A409" s="72">
        <v>87247</v>
      </c>
      <c r="B409" s="784" t="s">
        <v>461</v>
      </c>
      <c r="C409" s="784"/>
      <c r="D409" s="784"/>
      <c r="E409" s="73" t="s">
        <v>87</v>
      </c>
      <c r="F409" s="74">
        <f>ROUNDDOWN(E411+E412,2)</f>
        <v>11.7</v>
      </c>
    </row>
    <row r="410" spans="1:6">
      <c r="A410" s="485"/>
      <c r="B410" s="126" t="s">
        <v>83</v>
      </c>
      <c r="C410" s="474" t="s">
        <v>84</v>
      </c>
      <c r="D410" s="82" t="s">
        <v>85</v>
      </c>
      <c r="E410" s="474" t="s">
        <v>105</v>
      </c>
      <c r="F410" s="117"/>
    </row>
    <row r="411" spans="1:6">
      <c r="A411" s="484"/>
      <c r="B411" s="473" t="s">
        <v>323</v>
      </c>
      <c r="C411" s="475">
        <v>1.6</v>
      </c>
      <c r="D411" s="475">
        <v>3.66</v>
      </c>
      <c r="E411" s="475">
        <f>ROUNDDOWN(C411*D411,2)</f>
        <v>5.85</v>
      </c>
      <c r="F411" s="113"/>
    </row>
    <row r="412" spans="1:6" ht="13.5" thickBot="1">
      <c r="A412" s="486"/>
      <c r="B412" s="274" t="s">
        <v>324</v>
      </c>
      <c r="C412" s="475">
        <v>1.6</v>
      </c>
      <c r="D412" s="111">
        <v>3.66</v>
      </c>
      <c r="E412" s="475">
        <f>ROUNDDOWN(C412*D412,2)</f>
        <v>5.85</v>
      </c>
      <c r="F412" s="129"/>
    </row>
    <row r="413" spans="1:6" ht="55.5" customHeight="1" thickBot="1">
      <c r="A413" s="72">
        <v>87248</v>
      </c>
      <c r="B413" s="784" t="s">
        <v>462</v>
      </c>
      <c r="C413" s="784"/>
      <c r="D413" s="784"/>
      <c r="E413" s="73" t="s">
        <v>87</v>
      </c>
      <c r="F413" s="74">
        <f>ROUNDDOWN(E415,2)</f>
        <v>42</v>
      </c>
    </row>
    <row r="414" spans="1:6">
      <c r="A414" s="485"/>
      <c r="B414" s="126" t="s">
        <v>83</v>
      </c>
      <c r="C414" s="474" t="s">
        <v>84</v>
      </c>
      <c r="D414" s="82" t="s">
        <v>85</v>
      </c>
      <c r="E414" s="474" t="s">
        <v>105</v>
      </c>
      <c r="F414" s="117"/>
    </row>
    <row r="415" spans="1:6" ht="13.5" thickBot="1">
      <c r="A415" s="487"/>
      <c r="B415" s="274" t="s">
        <v>343</v>
      </c>
      <c r="C415" s="111">
        <v>7</v>
      </c>
      <c r="D415" s="111">
        <v>6</v>
      </c>
      <c r="E415" s="86">
        <f>D415*C415</f>
        <v>42</v>
      </c>
      <c r="F415" s="129"/>
    </row>
    <row r="416" spans="1:6" s="79" customFormat="1" ht="40.5" customHeight="1" thickBot="1">
      <c r="A416" s="72">
        <v>84161</v>
      </c>
      <c r="B416" s="784" t="s">
        <v>183</v>
      </c>
      <c r="C416" s="784"/>
      <c r="D416" s="784"/>
      <c r="E416" s="73" t="s">
        <v>17</v>
      </c>
      <c r="F416" s="135">
        <f>ROUNDDOWN(C418+C419+C420+C421+C422,2)</f>
        <v>6.3</v>
      </c>
    </row>
    <row r="417" spans="1:6">
      <c r="A417" s="132"/>
      <c r="B417" s="126" t="s">
        <v>83</v>
      </c>
      <c r="C417" s="75" t="s">
        <v>84</v>
      </c>
      <c r="D417" s="117"/>
      <c r="E417" s="155"/>
      <c r="F417" s="127"/>
    </row>
    <row r="418" spans="1:6">
      <c r="A418" s="133"/>
      <c r="B418" s="108" t="s">
        <v>326</v>
      </c>
      <c r="C418" s="113">
        <v>0.8</v>
      </c>
      <c r="D418" s="129"/>
      <c r="E418" s="113"/>
      <c r="F418" s="131"/>
    </row>
    <row r="419" spans="1:6">
      <c r="A419" s="134"/>
      <c r="B419" s="108" t="s">
        <v>323</v>
      </c>
      <c r="C419" s="113">
        <v>0.8</v>
      </c>
      <c r="D419" s="129"/>
      <c r="E419" s="129"/>
      <c r="F419" s="109"/>
    </row>
    <row r="420" spans="1:6">
      <c r="A420" s="134"/>
      <c r="B420" s="274" t="s">
        <v>324</v>
      </c>
      <c r="C420" s="113">
        <v>0.8</v>
      </c>
      <c r="D420" s="129"/>
      <c r="E420" s="129"/>
      <c r="F420" s="109"/>
    </row>
    <row r="421" spans="1:6">
      <c r="A421" s="134"/>
      <c r="B421" s="274" t="s">
        <v>343</v>
      </c>
      <c r="C421" s="129">
        <v>0.9</v>
      </c>
      <c r="D421" s="129"/>
      <c r="E421" s="129"/>
      <c r="F421" s="109"/>
    </row>
    <row r="422" spans="1:6" ht="13.5" thickBot="1">
      <c r="A422" s="463"/>
      <c r="B422" s="274" t="s">
        <v>329</v>
      </c>
      <c r="C422" s="129">
        <v>3</v>
      </c>
      <c r="D422" s="358"/>
      <c r="E422" s="358"/>
      <c r="F422" s="462"/>
    </row>
    <row r="423" spans="1:6" s="79" customFormat="1" ht="54" customHeight="1" thickBot="1">
      <c r="A423" s="72">
        <v>84088</v>
      </c>
      <c r="B423" s="784" t="s">
        <v>184</v>
      </c>
      <c r="C423" s="784"/>
      <c r="D423" s="784"/>
      <c r="E423" s="73" t="s">
        <v>17</v>
      </c>
      <c r="F423" s="135">
        <f>ROUNDDOWN(E425+E426+E427+E428+E429+E430+E431+E432+E433+E434+E435+E436+E437+E438+E439+E440+E441+E442,2)</f>
        <v>48.3</v>
      </c>
    </row>
    <row r="424" spans="1:6">
      <c r="A424" s="75"/>
      <c r="B424" s="75" t="s">
        <v>83</v>
      </c>
      <c r="C424" s="75" t="s">
        <v>84</v>
      </c>
      <c r="D424" s="116" t="s">
        <v>23</v>
      </c>
      <c r="E424" s="75" t="s">
        <v>13</v>
      </c>
      <c r="F424" s="117"/>
    </row>
    <row r="425" spans="1:6">
      <c r="A425" s="969" t="s">
        <v>322</v>
      </c>
      <c r="B425" s="108" t="s">
        <v>114</v>
      </c>
      <c r="C425" s="408">
        <v>1.6</v>
      </c>
      <c r="D425" s="123">
        <v>2</v>
      </c>
      <c r="E425" s="124">
        <f>ROUNDDOWN(D425*C425,2)</f>
        <v>3.2</v>
      </c>
      <c r="F425" s="113"/>
    </row>
    <row r="426" spans="1:6">
      <c r="A426" s="969"/>
      <c r="B426" s="108" t="s">
        <v>115</v>
      </c>
      <c r="C426" s="408">
        <v>2</v>
      </c>
      <c r="D426" s="123">
        <v>2</v>
      </c>
      <c r="E426" s="124">
        <f t="shared" ref="E426:E442" si="15">ROUNDDOWN(D426*C426,2)</f>
        <v>4</v>
      </c>
      <c r="F426" s="125"/>
    </row>
    <row r="427" spans="1:6">
      <c r="A427" s="440"/>
      <c r="B427" s="441" t="s">
        <v>326</v>
      </c>
      <c r="C427" s="408">
        <v>0.6</v>
      </c>
      <c r="D427" s="123">
        <v>1</v>
      </c>
      <c r="E427" s="124">
        <f t="shared" si="15"/>
        <v>0.6</v>
      </c>
      <c r="F427" s="125"/>
    </row>
    <row r="428" spans="1:6">
      <c r="A428" s="440"/>
      <c r="B428" s="441" t="s">
        <v>345</v>
      </c>
      <c r="C428" s="408">
        <v>1.25</v>
      </c>
      <c r="D428" s="123">
        <v>1</v>
      </c>
      <c r="E428" s="124">
        <f t="shared" si="15"/>
        <v>1.25</v>
      </c>
      <c r="F428" s="125"/>
    </row>
    <row r="429" spans="1:6">
      <c r="A429" s="442"/>
      <c r="B429" s="441" t="s">
        <v>324</v>
      </c>
      <c r="C429" s="408">
        <v>1.25</v>
      </c>
      <c r="D429" s="123">
        <v>1</v>
      </c>
      <c r="E429" s="124">
        <f t="shared" si="15"/>
        <v>1.25</v>
      </c>
      <c r="F429" s="125"/>
    </row>
    <row r="430" spans="1:6">
      <c r="A430" s="442"/>
      <c r="B430" s="441" t="s">
        <v>386</v>
      </c>
      <c r="C430" s="408">
        <v>2</v>
      </c>
      <c r="D430" s="123">
        <v>1</v>
      </c>
      <c r="E430" s="124">
        <f t="shared" si="15"/>
        <v>2</v>
      </c>
      <c r="F430" s="125"/>
    </row>
    <row r="431" spans="1:6">
      <c r="A431" s="442"/>
      <c r="B431" s="441" t="s">
        <v>385</v>
      </c>
      <c r="C431" s="408">
        <v>2</v>
      </c>
      <c r="D431" s="123">
        <v>2</v>
      </c>
      <c r="E431" s="124">
        <f t="shared" si="15"/>
        <v>4</v>
      </c>
      <c r="F431" s="125"/>
    </row>
    <row r="432" spans="1:6">
      <c r="A432" s="442"/>
      <c r="B432" s="441" t="s">
        <v>289</v>
      </c>
      <c r="C432" s="408">
        <v>2</v>
      </c>
      <c r="D432" s="123">
        <v>2</v>
      </c>
      <c r="E432" s="124">
        <f t="shared" si="15"/>
        <v>4</v>
      </c>
      <c r="F432" s="125"/>
    </row>
    <row r="433" spans="1:6">
      <c r="A433" s="442"/>
      <c r="B433" s="441" t="s">
        <v>290</v>
      </c>
      <c r="C433" s="632">
        <v>2</v>
      </c>
      <c r="D433" s="123">
        <v>2</v>
      </c>
      <c r="E433" s="124">
        <f t="shared" si="15"/>
        <v>4</v>
      </c>
      <c r="F433" s="640"/>
    </row>
    <row r="434" spans="1:6">
      <c r="A434" s="929" t="s">
        <v>552</v>
      </c>
      <c r="B434" s="628" t="s">
        <v>114</v>
      </c>
      <c r="C434" s="632">
        <v>1.6</v>
      </c>
      <c r="D434" s="123">
        <v>1</v>
      </c>
      <c r="E434" s="124">
        <f t="shared" si="15"/>
        <v>1.6</v>
      </c>
      <c r="F434" s="113"/>
    </row>
    <row r="435" spans="1:6">
      <c r="A435" s="929"/>
      <c r="B435" s="628" t="s">
        <v>115</v>
      </c>
      <c r="C435" s="632">
        <v>2</v>
      </c>
      <c r="D435" s="123">
        <v>2</v>
      </c>
      <c r="E435" s="124">
        <f t="shared" si="15"/>
        <v>4</v>
      </c>
      <c r="F435" s="640"/>
    </row>
    <row r="436" spans="1:6">
      <c r="A436" s="929" t="s">
        <v>555</v>
      </c>
      <c r="B436" s="628" t="s">
        <v>114</v>
      </c>
      <c r="C436" s="632">
        <v>1.6</v>
      </c>
      <c r="D436" s="123">
        <v>1</v>
      </c>
      <c r="E436" s="124">
        <f t="shared" si="15"/>
        <v>1.6</v>
      </c>
      <c r="F436" s="640"/>
    </row>
    <row r="437" spans="1:6">
      <c r="A437" s="929"/>
      <c r="B437" s="628" t="s">
        <v>115</v>
      </c>
      <c r="C437" s="632">
        <v>2</v>
      </c>
      <c r="D437" s="123">
        <v>2</v>
      </c>
      <c r="E437" s="124">
        <f t="shared" si="15"/>
        <v>4</v>
      </c>
      <c r="F437" s="640"/>
    </row>
    <row r="438" spans="1:6">
      <c r="A438" s="929" t="s">
        <v>556</v>
      </c>
      <c r="B438" s="628" t="s">
        <v>114</v>
      </c>
      <c r="C438" s="632">
        <v>1.6</v>
      </c>
      <c r="D438" s="123">
        <v>1</v>
      </c>
      <c r="E438" s="124">
        <f t="shared" si="15"/>
        <v>1.6</v>
      </c>
      <c r="F438" s="640"/>
    </row>
    <row r="439" spans="1:6">
      <c r="A439" s="929"/>
      <c r="B439" s="628" t="s">
        <v>115</v>
      </c>
      <c r="C439" s="632">
        <v>2</v>
      </c>
      <c r="D439" s="123">
        <v>2</v>
      </c>
      <c r="E439" s="124">
        <f t="shared" si="15"/>
        <v>4</v>
      </c>
      <c r="F439" s="640"/>
    </row>
    <row r="440" spans="1:6">
      <c r="A440" s="929" t="s">
        <v>289</v>
      </c>
      <c r="B440" s="628" t="s">
        <v>114</v>
      </c>
      <c r="C440" s="632">
        <v>1.6</v>
      </c>
      <c r="D440" s="123">
        <v>1</v>
      </c>
      <c r="E440" s="124">
        <f>ROUNDDOWN(D440*C440,2)</f>
        <v>1.6</v>
      </c>
      <c r="F440" s="640"/>
    </row>
    <row r="441" spans="1:6">
      <c r="A441" s="929"/>
      <c r="B441" s="628" t="s">
        <v>115</v>
      </c>
      <c r="C441" s="632">
        <v>2</v>
      </c>
      <c r="D441" s="123">
        <v>2</v>
      </c>
      <c r="E441" s="124">
        <f t="shared" si="15"/>
        <v>4</v>
      </c>
      <c r="F441" s="640"/>
    </row>
    <row r="442" spans="1:6" ht="13.5" thickBot="1">
      <c r="A442" s="653"/>
      <c r="B442" s="498" t="s">
        <v>424</v>
      </c>
      <c r="C442" s="632">
        <v>1.6</v>
      </c>
      <c r="D442" s="123">
        <v>1</v>
      </c>
      <c r="E442" s="124">
        <f t="shared" si="15"/>
        <v>1.6</v>
      </c>
      <c r="F442" s="215"/>
    </row>
    <row r="443" spans="1:6" ht="39.75" customHeight="1" thickBot="1">
      <c r="A443" s="72">
        <v>88648</v>
      </c>
      <c r="B443" s="784" t="s">
        <v>185</v>
      </c>
      <c r="C443" s="784"/>
      <c r="D443" s="784"/>
      <c r="E443" s="73" t="s">
        <v>17</v>
      </c>
      <c r="F443" s="135">
        <f>ROUNDDOWN(C445+C446+C447+C448+C449+C450+C451+C452+C453+C454+C455,2)</f>
        <v>256.58</v>
      </c>
    </row>
    <row r="444" spans="1:6">
      <c r="A444" s="133"/>
      <c r="B444" s="126" t="s">
        <v>83</v>
      </c>
      <c r="C444" s="75" t="s">
        <v>84</v>
      </c>
      <c r="D444" s="113"/>
      <c r="E444" s="113"/>
      <c r="F444" s="131"/>
    </row>
    <row r="445" spans="1:6">
      <c r="A445" s="134"/>
      <c r="B445" s="274" t="s">
        <v>343</v>
      </c>
      <c r="C445" s="129">
        <f>26-0.9</f>
        <v>25.1</v>
      </c>
      <c r="D445" s="129"/>
      <c r="E445" s="129"/>
      <c r="F445" s="109"/>
    </row>
    <row r="446" spans="1:6">
      <c r="A446" s="388"/>
      <c r="B446" s="108" t="s">
        <v>346</v>
      </c>
      <c r="C446" s="113">
        <f>22.91-0.9-0.8-0.8-0.8-2.27</f>
        <v>17.34</v>
      </c>
      <c r="D446" s="113"/>
      <c r="E446" s="113"/>
      <c r="F446" s="113"/>
    </row>
    <row r="447" spans="1:6">
      <c r="A447" s="388"/>
      <c r="B447" s="108" t="s">
        <v>347</v>
      </c>
      <c r="C447" s="113">
        <f>21.44-0.8</f>
        <v>20.64</v>
      </c>
      <c r="D447" s="113"/>
      <c r="E447" s="113"/>
      <c r="F447" s="113"/>
    </row>
    <row r="448" spans="1:6">
      <c r="A448" s="388"/>
      <c r="B448" s="108" t="s">
        <v>348</v>
      </c>
      <c r="C448" s="113">
        <f>21.34-0.8</f>
        <v>20.54</v>
      </c>
      <c r="D448" s="113"/>
      <c r="E448" s="113"/>
      <c r="F448" s="113"/>
    </row>
    <row r="449" spans="1:7">
      <c r="A449" s="388"/>
      <c r="B449" s="108" t="s">
        <v>116</v>
      </c>
      <c r="C449" s="113">
        <f>21.28-0.8</f>
        <v>20.48</v>
      </c>
      <c r="D449" s="113"/>
      <c r="E449" s="113"/>
      <c r="F449" s="113"/>
    </row>
    <row r="450" spans="1:7">
      <c r="A450" s="388"/>
      <c r="B450" s="108" t="s">
        <v>153</v>
      </c>
      <c r="C450" s="113">
        <f>21.18-0.8</f>
        <v>20.38</v>
      </c>
      <c r="D450" s="113"/>
      <c r="E450" s="113"/>
      <c r="F450" s="113"/>
    </row>
    <row r="451" spans="1:7" ht="25.5">
      <c r="A451" s="388"/>
      <c r="B451" s="629" t="s">
        <v>350</v>
      </c>
      <c r="C451" s="113">
        <f>(11.02-0.8)+(8.44-0.8)</f>
        <v>17.86</v>
      </c>
      <c r="D451" s="113"/>
      <c r="E451" s="113"/>
      <c r="F451" s="113"/>
    </row>
    <row r="452" spans="1:7">
      <c r="A452" s="388"/>
      <c r="B452" s="108" t="s">
        <v>351</v>
      </c>
      <c r="C452" s="113">
        <f>57-1.04-1.03+23.63-0.82</f>
        <v>77.740000000000009</v>
      </c>
      <c r="D452" s="113"/>
      <c r="E452" s="113"/>
      <c r="F452" s="113"/>
    </row>
    <row r="453" spans="1:7">
      <c r="A453" s="382"/>
      <c r="B453" s="274" t="s">
        <v>352</v>
      </c>
      <c r="C453" s="129">
        <f>6*0.8</f>
        <v>4.8000000000000007</v>
      </c>
      <c r="D453" s="129"/>
      <c r="E453" s="129"/>
      <c r="F453" s="129"/>
    </row>
    <row r="454" spans="1:7">
      <c r="A454" s="388"/>
      <c r="B454" s="444" t="s">
        <v>154</v>
      </c>
      <c r="C454" s="113">
        <f>16.65-0.8</f>
        <v>15.849999999999998</v>
      </c>
      <c r="D454" s="113"/>
      <c r="E454" s="113"/>
      <c r="F454" s="113"/>
    </row>
    <row r="455" spans="1:7" ht="13.5" thickBot="1">
      <c r="A455" s="463"/>
      <c r="B455" s="274" t="s">
        <v>363</v>
      </c>
      <c r="C455" s="129">
        <f>16.65-0.8</f>
        <v>15.849999999999998</v>
      </c>
      <c r="D455" s="129"/>
      <c r="E455" s="129"/>
      <c r="F455" s="129"/>
    </row>
    <row r="456" spans="1:7" ht="13.5" thickBot="1">
      <c r="A456" s="71">
        <v>12</v>
      </c>
      <c r="B456" s="826" t="s">
        <v>108</v>
      </c>
      <c r="C456" s="782"/>
      <c r="D456" s="782"/>
      <c r="E456" s="782"/>
      <c r="F456" s="783"/>
    </row>
    <row r="457" spans="1:7" ht="27" customHeight="1" thickBot="1">
      <c r="A457" s="504">
        <v>89446</v>
      </c>
      <c r="B457" s="853" t="s">
        <v>197</v>
      </c>
      <c r="C457" s="853"/>
      <c r="D457" s="853"/>
      <c r="E457" s="581" t="s">
        <v>17</v>
      </c>
      <c r="F457" s="582">
        <f>E458+10%</f>
        <v>7.5</v>
      </c>
    </row>
    <row r="458" spans="1:7" ht="15.75" customHeight="1" thickBot="1">
      <c r="A458" s="583"/>
      <c r="B458" s="854" t="s">
        <v>500</v>
      </c>
      <c r="C458" s="855"/>
      <c r="D458" s="856"/>
      <c r="E458" s="519">
        <f>0.69+1.97+2.87+1.87</f>
        <v>7.4</v>
      </c>
      <c r="F458" s="521"/>
    </row>
    <row r="459" spans="1:7" ht="38.25" customHeight="1" thickBot="1">
      <c r="A459" s="504">
        <v>89362</v>
      </c>
      <c r="B459" s="853" t="s">
        <v>198</v>
      </c>
      <c r="C459" s="853"/>
      <c r="D459" s="853"/>
      <c r="E459" s="581" t="s">
        <v>64</v>
      </c>
      <c r="F459" s="582">
        <v>2</v>
      </c>
    </row>
    <row r="460" spans="1:7" ht="15.75" customHeight="1" thickBot="1">
      <c r="A460" s="583"/>
      <c r="B460" s="854" t="s">
        <v>229</v>
      </c>
      <c r="C460" s="855"/>
      <c r="D460" s="856"/>
      <c r="E460" s="519"/>
      <c r="F460" s="521"/>
    </row>
    <row r="461" spans="1:7" ht="45.75" customHeight="1" thickBot="1">
      <c r="A461" s="504">
        <v>89497</v>
      </c>
      <c r="B461" s="853" t="s">
        <v>503</v>
      </c>
      <c r="C461" s="853"/>
      <c r="D461" s="853"/>
      <c r="E461" s="581" t="s">
        <v>64</v>
      </c>
      <c r="F461" s="582">
        <v>2</v>
      </c>
      <c r="G461" s="67" t="s">
        <v>521</v>
      </c>
    </row>
    <row r="462" spans="1:7" ht="15.75" customHeight="1" thickBot="1">
      <c r="A462" s="583" t="s">
        <v>502</v>
      </c>
      <c r="B462" s="854" t="s">
        <v>229</v>
      </c>
      <c r="C462" s="855"/>
      <c r="D462" s="856"/>
      <c r="E462" s="519"/>
      <c r="F462" s="521"/>
    </row>
    <row r="463" spans="1:7" ht="53.25" customHeight="1" thickBot="1">
      <c r="A463" s="504">
        <v>89383</v>
      </c>
      <c r="B463" s="853" t="s">
        <v>199</v>
      </c>
      <c r="C463" s="853"/>
      <c r="D463" s="853"/>
      <c r="E463" s="581" t="s">
        <v>64</v>
      </c>
      <c r="F463" s="582">
        <v>5</v>
      </c>
    </row>
    <row r="464" spans="1:7" ht="15.75" customHeight="1" thickBot="1">
      <c r="A464" s="133"/>
      <c r="B464" s="805" t="s">
        <v>229</v>
      </c>
      <c r="C464" s="806"/>
      <c r="D464" s="807"/>
      <c r="E464" s="113"/>
      <c r="F464" s="131"/>
    </row>
    <row r="465" spans="1:8" ht="29.25" customHeight="1" thickBot="1">
      <c r="A465" s="504">
        <v>89353</v>
      </c>
      <c r="B465" s="853" t="s">
        <v>200</v>
      </c>
      <c r="C465" s="853"/>
      <c r="D465" s="853"/>
      <c r="E465" s="581" t="s">
        <v>64</v>
      </c>
      <c r="F465" s="582">
        <v>3</v>
      </c>
    </row>
    <row r="466" spans="1:8" ht="15.75" customHeight="1" thickBot="1">
      <c r="A466" s="133"/>
      <c r="B466" s="805" t="s">
        <v>229</v>
      </c>
      <c r="C466" s="806"/>
      <c r="D466" s="807"/>
      <c r="E466" s="113"/>
      <c r="F466" s="131"/>
    </row>
    <row r="467" spans="1:8" ht="27" customHeight="1" thickBot="1">
      <c r="A467" s="504">
        <v>72784</v>
      </c>
      <c r="B467" s="853" t="s">
        <v>201</v>
      </c>
      <c r="C467" s="853"/>
      <c r="D467" s="853"/>
      <c r="E467" s="581" t="s">
        <v>64</v>
      </c>
      <c r="F467" s="582">
        <v>1</v>
      </c>
    </row>
    <row r="468" spans="1:8" ht="13.5" thickBot="1">
      <c r="A468" s="583"/>
      <c r="B468" s="854" t="s">
        <v>229</v>
      </c>
      <c r="C468" s="855"/>
      <c r="D468" s="856"/>
      <c r="E468" s="519"/>
      <c r="F468" s="521"/>
    </row>
    <row r="469" spans="1:8" ht="27" customHeight="1" thickBot="1">
      <c r="A469" s="504" t="s">
        <v>195</v>
      </c>
      <c r="B469" s="853" t="s">
        <v>202</v>
      </c>
      <c r="C469" s="853"/>
      <c r="D469" s="853"/>
      <c r="E469" s="581" t="s">
        <v>64</v>
      </c>
      <c r="F469" s="582">
        <v>1</v>
      </c>
    </row>
    <row r="470" spans="1:8" ht="13.5" thickBot="1">
      <c r="A470" s="583"/>
      <c r="B470" s="854" t="s">
        <v>229</v>
      </c>
      <c r="C470" s="855"/>
      <c r="D470" s="856"/>
      <c r="E470" s="519"/>
      <c r="F470" s="521"/>
    </row>
    <row r="471" spans="1:8" ht="26.25" customHeight="1" thickBot="1">
      <c r="A471" s="504">
        <v>72785</v>
      </c>
      <c r="B471" s="853" t="s">
        <v>203</v>
      </c>
      <c r="C471" s="853"/>
      <c r="D471" s="853"/>
      <c r="E471" s="581" t="s">
        <v>64</v>
      </c>
      <c r="F471" s="582">
        <v>1</v>
      </c>
    </row>
    <row r="472" spans="1:8" ht="13.5" thickBot="1">
      <c r="A472" s="583"/>
      <c r="B472" s="854" t="s">
        <v>229</v>
      </c>
      <c r="C472" s="855"/>
      <c r="D472" s="856"/>
      <c r="E472" s="519"/>
      <c r="F472" s="521"/>
    </row>
    <row r="473" spans="1:8" ht="27.75" customHeight="1" thickBot="1">
      <c r="A473" s="504">
        <v>89447</v>
      </c>
      <c r="B473" s="853" t="s">
        <v>204</v>
      </c>
      <c r="C473" s="853"/>
      <c r="D473" s="853"/>
      <c r="E473" s="581" t="s">
        <v>17</v>
      </c>
      <c r="F473" s="582">
        <v>3</v>
      </c>
    </row>
    <row r="474" spans="1:8" ht="13.5" thickBot="1">
      <c r="A474" s="583"/>
      <c r="B474" s="854" t="s">
        <v>229</v>
      </c>
      <c r="C474" s="855"/>
      <c r="D474" s="856"/>
      <c r="E474" s="519"/>
      <c r="F474" s="521"/>
    </row>
    <row r="475" spans="1:8" ht="27" customHeight="1" thickBot="1">
      <c r="A475" s="504">
        <v>89367</v>
      </c>
      <c r="B475" s="853" t="s">
        <v>205</v>
      </c>
      <c r="C475" s="853"/>
      <c r="D475" s="853"/>
      <c r="E475" s="581" t="s">
        <v>64</v>
      </c>
      <c r="F475" s="582">
        <v>2</v>
      </c>
    </row>
    <row r="476" spans="1:8" ht="13.5" thickBot="1">
      <c r="A476" s="583"/>
      <c r="B476" s="854" t="s">
        <v>229</v>
      </c>
      <c r="C476" s="855"/>
      <c r="D476" s="856"/>
      <c r="E476" s="519"/>
      <c r="F476" s="521"/>
    </row>
    <row r="477" spans="1:8" ht="63" customHeight="1" thickBot="1">
      <c r="A477" s="593">
        <v>89391</v>
      </c>
      <c r="B477" s="857" t="s">
        <v>230</v>
      </c>
      <c r="C477" s="857"/>
      <c r="D477" s="857"/>
      <c r="E477" s="594" t="s">
        <v>64</v>
      </c>
      <c r="F477" s="595">
        <v>1</v>
      </c>
      <c r="H477" s="67" t="s">
        <v>501</v>
      </c>
    </row>
    <row r="478" spans="1:8" ht="13.5" thickBot="1">
      <c r="A478" s="133"/>
      <c r="B478" s="805" t="s">
        <v>229</v>
      </c>
      <c r="C478" s="806"/>
      <c r="D478" s="807"/>
      <c r="E478" s="113"/>
      <c r="F478" s="131"/>
    </row>
    <row r="479" spans="1:8" ht="58.5" customHeight="1" thickBot="1">
      <c r="A479" s="504">
        <v>89383</v>
      </c>
      <c r="B479" s="853" t="s">
        <v>505</v>
      </c>
      <c r="C479" s="853"/>
      <c r="D479" s="853"/>
      <c r="E479" s="581" t="s">
        <v>64</v>
      </c>
      <c r="F479" s="582">
        <v>5</v>
      </c>
    </row>
    <row r="480" spans="1:8" ht="13.5" thickBot="1">
      <c r="A480" s="583"/>
      <c r="B480" s="854" t="s">
        <v>229</v>
      </c>
      <c r="C480" s="855"/>
      <c r="D480" s="856"/>
      <c r="E480" s="519" t="s">
        <v>504</v>
      </c>
      <c r="F480" s="521"/>
    </row>
    <row r="481" spans="1:6" ht="13.5" thickBot="1">
      <c r="A481" s="586"/>
      <c r="B481" s="500"/>
      <c r="C481" s="501"/>
      <c r="D481" s="502"/>
      <c r="E481" s="358"/>
      <c r="F481" s="462"/>
    </row>
    <row r="482" spans="1:6" ht="27.75" customHeight="1" thickBot="1">
      <c r="A482" s="593" t="s">
        <v>196</v>
      </c>
      <c r="B482" s="857" t="s">
        <v>206</v>
      </c>
      <c r="C482" s="857"/>
      <c r="D482" s="857"/>
      <c r="E482" s="594" t="s">
        <v>17</v>
      </c>
      <c r="F482" s="595">
        <v>1</v>
      </c>
    </row>
    <row r="483" spans="1:6" ht="13.5" thickBot="1">
      <c r="A483" s="596"/>
      <c r="B483" s="966" t="s">
        <v>229</v>
      </c>
      <c r="C483" s="967"/>
      <c r="D483" s="968"/>
      <c r="E483" s="597"/>
      <c r="F483" s="598"/>
    </row>
    <row r="484" spans="1:6" ht="45.75" customHeight="1" thickBot="1">
      <c r="A484" s="504">
        <v>89400</v>
      </c>
      <c r="B484" s="853" t="s">
        <v>207</v>
      </c>
      <c r="C484" s="853"/>
      <c r="D484" s="853"/>
      <c r="E484" s="581" t="s">
        <v>64</v>
      </c>
      <c r="F484" s="582">
        <v>1</v>
      </c>
    </row>
    <row r="485" spans="1:6" ht="13.5" thickBot="1">
      <c r="A485" s="583"/>
      <c r="B485" s="854" t="s">
        <v>229</v>
      </c>
      <c r="C485" s="855"/>
      <c r="D485" s="856"/>
      <c r="E485" s="519"/>
      <c r="F485" s="521"/>
    </row>
    <row r="486" spans="1:6" ht="13.5" thickBot="1">
      <c r="A486" s="460" t="s">
        <v>110</v>
      </c>
      <c r="B486" s="965" t="s">
        <v>223</v>
      </c>
      <c r="C486" s="965"/>
      <c r="D486" s="965"/>
      <c r="E486" s="553" t="s">
        <v>64</v>
      </c>
      <c r="F486" s="584">
        <v>0</v>
      </c>
    </row>
    <row r="487" spans="1:6" ht="13.5" thickBot="1">
      <c r="A487" s="585"/>
      <c r="B487" s="996" t="s">
        <v>229</v>
      </c>
      <c r="C487" s="997"/>
      <c r="D487" s="998"/>
      <c r="E487" s="78"/>
      <c r="F487" s="96"/>
    </row>
    <row r="488" spans="1:6" ht="47.25" customHeight="1" thickBot="1">
      <c r="A488" s="619">
        <v>170550</v>
      </c>
      <c r="B488" s="1002" t="s">
        <v>534</v>
      </c>
      <c r="C488" s="1003"/>
      <c r="D488" s="1004"/>
      <c r="E488" s="581" t="s">
        <v>64</v>
      </c>
      <c r="F488" s="620">
        <v>1</v>
      </c>
    </row>
    <row r="489" spans="1:6" ht="13.5" thickBot="1">
      <c r="A489" s="583"/>
      <c r="B489" s="854"/>
      <c r="C489" s="855"/>
      <c r="D489" s="856"/>
      <c r="E489" s="519"/>
      <c r="F489" s="521"/>
    </row>
    <row r="490" spans="1:6" ht="41.25" customHeight="1" thickBot="1">
      <c r="A490" s="593">
        <v>89357</v>
      </c>
      <c r="B490" s="857" t="s">
        <v>208</v>
      </c>
      <c r="C490" s="857"/>
      <c r="D490" s="857"/>
      <c r="E490" s="594" t="s">
        <v>17</v>
      </c>
      <c r="F490" s="595">
        <v>4</v>
      </c>
    </row>
    <row r="491" spans="1:6" ht="13.5" thickBot="1">
      <c r="A491" s="596"/>
      <c r="B491" s="966" t="s">
        <v>229</v>
      </c>
      <c r="C491" s="967"/>
      <c r="D491" s="968"/>
      <c r="E491" s="597"/>
      <c r="F491" s="598"/>
    </row>
    <row r="492" spans="1:6" ht="43.5" customHeight="1" thickBot="1">
      <c r="A492" s="72">
        <v>89356</v>
      </c>
      <c r="B492" s="784" t="s">
        <v>209</v>
      </c>
      <c r="C492" s="784"/>
      <c r="D492" s="784"/>
      <c r="E492" s="73" t="s">
        <v>17</v>
      </c>
      <c r="F492" s="135"/>
    </row>
    <row r="493" spans="1:6" ht="13.5" thickBot="1">
      <c r="A493" s="133"/>
      <c r="B493" s="805" t="s">
        <v>229</v>
      </c>
      <c r="C493" s="806"/>
      <c r="D493" s="807"/>
      <c r="E493" s="113"/>
      <c r="F493" s="131"/>
    </row>
    <row r="494" spans="1:6" ht="39" customHeight="1" thickBot="1">
      <c r="A494" s="72">
        <v>89368</v>
      </c>
      <c r="B494" s="784" t="s">
        <v>210</v>
      </c>
      <c r="C494" s="784"/>
      <c r="D494" s="784"/>
      <c r="E494" s="73" t="s">
        <v>64</v>
      </c>
      <c r="F494" s="135"/>
    </row>
    <row r="495" spans="1:6" ht="13.5" thickBot="1">
      <c r="A495" s="133"/>
      <c r="B495" s="805" t="s">
        <v>229</v>
      </c>
      <c r="C495" s="806"/>
      <c r="D495" s="807"/>
      <c r="E495" s="113"/>
      <c r="F495" s="131"/>
    </row>
    <row r="496" spans="1:6" ht="13.5" thickBot="1">
      <c r="A496" s="587"/>
      <c r="B496" s="588"/>
      <c r="C496" s="589"/>
      <c r="D496" s="590"/>
      <c r="E496" s="591"/>
      <c r="F496" s="592"/>
    </row>
    <row r="497" spans="1:6" ht="52.5" customHeight="1" thickBot="1">
      <c r="A497" s="593">
        <v>89714</v>
      </c>
      <c r="B497" s="857" t="s">
        <v>211</v>
      </c>
      <c r="C497" s="857"/>
      <c r="D497" s="857"/>
      <c r="E497" s="594" t="s">
        <v>17</v>
      </c>
      <c r="F497" s="595">
        <v>45</v>
      </c>
    </row>
    <row r="498" spans="1:6" ht="13.5" thickBot="1">
      <c r="A498" s="596"/>
      <c r="B498" s="966" t="s">
        <v>229</v>
      </c>
      <c r="C498" s="967"/>
      <c r="D498" s="968"/>
      <c r="E498" s="597"/>
      <c r="F498" s="598"/>
    </row>
    <row r="499" spans="1:6" ht="26.25" customHeight="1" thickBot="1">
      <c r="A499" s="593">
        <v>89744</v>
      </c>
      <c r="B499" s="857" t="s">
        <v>212</v>
      </c>
      <c r="C499" s="857"/>
      <c r="D499" s="857"/>
      <c r="E499" s="594" t="s">
        <v>64</v>
      </c>
      <c r="F499" s="595">
        <v>5</v>
      </c>
    </row>
    <row r="500" spans="1:6" ht="13.5" thickBot="1">
      <c r="A500" s="596"/>
      <c r="B500" s="966" t="s">
        <v>229</v>
      </c>
      <c r="C500" s="967"/>
      <c r="D500" s="968"/>
      <c r="E500" s="597"/>
      <c r="F500" s="598"/>
    </row>
    <row r="501" spans="1:6" ht="13.5" thickBot="1">
      <c r="A501" s="593">
        <v>72295</v>
      </c>
      <c r="B501" s="857" t="s">
        <v>213</v>
      </c>
      <c r="C501" s="857"/>
      <c r="D501" s="857"/>
      <c r="E501" s="594" t="s">
        <v>64</v>
      </c>
      <c r="F501" s="595">
        <v>5</v>
      </c>
    </row>
    <row r="502" spans="1:6" ht="13.5" thickBot="1">
      <c r="A502" s="596"/>
      <c r="B502" s="966" t="s">
        <v>229</v>
      </c>
      <c r="C502" s="967"/>
      <c r="D502" s="968"/>
      <c r="E502" s="597"/>
      <c r="F502" s="598"/>
    </row>
    <row r="503" spans="1:6" ht="41.25" customHeight="1" thickBot="1">
      <c r="A503" s="593">
        <v>89797</v>
      </c>
      <c r="B503" s="857" t="s">
        <v>214</v>
      </c>
      <c r="C503" s="857"/>
      <c r="D503" s="857"/>
      <c r="E503" s="594" t="s">
        <v>64</v>
      </c>
      <c r="F503" s="595">
        <v>5</v>
      </c>
    </row>
    <row r="504" spans="1:6" ht="13.5" thickBot="1">
      <c r="A504" s="596"/>
      <c r="B504" s="966" t="s">
        <v>229</v>
      </c>
      <c r="C504" s="967"/>
      <c r="D504" s="968"/>
      <c r="E504" s="597"/>
      <c r="F504" s="598"/>
    </row>
    <row r="505" spans="1:6" ht="29.25" customHeight="1" thickBot="1">
      <c r="A505" s="593">
        <v>89711</v>
      </c>
      <c r="B505" s="857" t="s">
        <v>215</v>
      </c>
      <c r="C505" s="857"/>
      <c r="D505" s="857"/>
      <c r="E505" s="594" t="s">
        <v>17</v>
      </c>
      <c r="F505" s="595">
        <v>8</v>
      </c>
    </row>
    <row r="506" spans="1:6" ht="13.5" thickBot="1">
      <c r="A506" s="596"/>
      <c r="B506" s="966" t="s">
        <v>229</v>
      </c>
      <c r="C506" s="967"/>
      <c r="D506" s="968"/>
      <c r="E506" s="597"/>
      <c r="F506" s="598"/>
    </row>
    <row r="507" spans="1:6" ht="39" customHeight="1" thickBot="1">
      <c r="A507" s="593">
        <v>89724</v>
      </c>
      <c r="B507" s="857" t="s">
        <v>216</v>
      </c>
      <c r="C507" s="857"/>
      <c r="D507" s="857"/>
      <c r="E507" s="594" t="s">
        <v>64</v>
      </c>
      <c r="F507" s="595">
        <v>8</v>
      </c>
    </row>
    <row r="508" spans="1:6" ht="13.5" thickBot="1">
      <c r="A508" s="596"/>
      <c r="B508" s="966" t="s">
        <v>229</v>
      </c>
      <c r="C508" s="967"/>
      <c r="D508" s="968"/>
      <c r="E508" s="597"/>
      <c r="F508" s="598"/>
    </row>
    <row r="509" spans="1:6" ht="41.25" customHeight="1" thickBot="1">
      <c r="A509" s="593">
        <v>89726</v>
      </c>
      <c r="B509" s="857" t="s">
        <v>217</v>
      </c>
      <c r="C509" s="857"/>
      <c r="D509" s="857"/>
      <c r="E509" s="594" t="s">
        <v>64</v>
      </c>
      <c r="F509" s="595">
        <v>2</v>
      </c>
    </row>
    <row r="510" spans="1:6" ht="13.5" thickBot="1">
      <c r="A510" s="596"/>
      <c r="B510" s="966" t="s">
        <v>229</v>
      </c>
      <c r="C510" s="967"/>
      <c r="D510" s="968"/>
      <c r="E510" s="597"/>
      <c r="F510" s="598"/>
    </row>
    <row r="511" spans="1:6" ht="39" customHeight="1" thickBot="1">
      <c r="A511" s="593">
        <v>89707</v>
      </c>
      <c r="B511" s="857" t="s">
        <v>218</v>
      </c>
      <c r="C511" s="857"/>
      <c r="D511" s="857"/>
      <c r="E511" s="594" t="s">
        <v>64</v>
      </c>
      <c r="F511" s="595">
        <v>6</v>
      </c>
    </row>
    <row r="512" spans="1:6">
      <c r="A512" s="599"/>
      <c r="B512" s="926" t="s">
        <v>229</v>
      </c>
      <c r="C512" s="927"/>
      <c r="D512" s="928"/>
      <c r="E512" s="600"/>
      <c r="F512" s="601"/>
    </row>
    <row r="513" spans="1:7" ht="39" customHeight="1" thickBot="1">
      <c r="A513" s="602" t="s">
        <v>519</v>
      </c>
      <c r="B513" s="925" t="s">
        <v>520</v>
      </c>
      <c r="C513" s="925"/>
      <c r="D513" s="925"/>
      <c r="E513" s="597" t="s">
        <v>64</v>
      </c>
      <c r="F513" s="597">
        <v>3</v>
      </c>
      <c r="G513" s="67" t="s">
        <v>521</v>
      </c>
    </row>
    <row r="514" spans="1:7">
      <c r="A514" s="602"/>
      <c r="B514" s="926" t="s">
        <v>229</v>
      </c>
      <c r="C514" s="927"/>
      <c r="D514" s="928"/>
      <c r="E514" s="600"/>
      <c r="F514" s="600"/>
    </row>
    <row r="515" spans="1:7" ht="55.5" customHeight="1" thickBot="1">
      <c r="A515" s="602">
        <v>89796</v>
      </c>
      <c r="B515" s="925" t="s">
        <v>526</v>
      </c>
      <c r="C515" s="925"/>
      <c r="D515" s="925"/>
      <c r="E515" s="597" t="s">
        <v>64</v>
      </c>
      <c r="F515" s="600">
        <v>7</v>
      </c>
      <c r="G515" s="67" t="s">
        <v>525</v>
      </c>
    </row>
    <row r="516" spans="1:7" ht="13.5" thickBot="1">
      <c r="A516" s="652"/>
      <c r="B516" s="926" t="s">
        <v>229</v>
      </c>
      <c r="C516" s="927"/>
      <c r="D516" s="928"/>
      <c r="E516" s="600"/>
      <c r="F516" s="600"/>
    </row>
    <row r="517" spans="1:7" ht="13.5" thickBot="1">
      <c r="A517" s="71">
        <v>13</v>
      </c>
      <c r="B517" s="1016" t="s">
        <v>303</v>
      </c>
      <c r="C517" s="1016"/>
      <c r="D517" s="1016"/>
      <c r="E517" s="1016"/>
      <c r="F517" s="1017"/>
    </row>
    <row r="518" spans="1:7" ht="27" customHeight="1" thickBot="1">
      <c r="A518" s="145">
        <v>72310</v>
      </c>
      <c r="B518" s="817" t="s">
        <v>231</v>
      </c>
      <c r="C518" s="817"/>
      <c r="D518" s="817"/>
      <c r="E518" s="146" t="s">
        <v>17</v>
      </c>
      <c r="F518" s="603"/>
    </row>
    <row r="519" spans="1:7" ht="13.5" thickBot="1">
      <c r="A519" s="133"/>
      <c r="B519" s="805" t="s">
        <v>267</v>
      </c>
      <c r="C519" s="806"/>
      <c r="D519" s="807"/>
      <c r="E519" s="113"/>
      <c r="F519" s="131"/>
    </row>
    <row r="520" spans="1:7" ht="13.5" customHeight="1" thickBot="1">
      <c r="A520" s="72">
        <v>83450</v>
      </c>
      <c r="B520" s="784" t="s">
        <v>232</v>
      </c>
      <c r="C520" s="784"/>
      <c r="D520" s="784"/>
      <c r="E520" s="73" t="s">
        <v>64</v>
      </c>
      <c r="F520" s="135"/>
    </row>
    <row r="521" spans="1:7" ht="13.5" thickBot="1">
      <c r="A521" s="133"/>
      <c r="B521" s="805" t="s">
        <v>267</v>
      </c>
      <c r="C521" s="806"/>
      <c r="D521" s="807"/>
      <c r="E521" s="113"/>
      <c r="F521" s="131"/>
    </row>
    <row r="522" spans="1:7" ht="13.5" thickBot="1">
      <c r="A522" s="72">
        <v>72252</v>
      </c>
      <c r="B522" s="784" t="s">
        <v>233</v>
      </c>
      <c r="C522" s="784"/>
      <c r="D522" s="784"/>
      <c r="E522" s="73" t="s">
        <v>17</v>
      </c>
      <c r="F522" s="135"/>
    </row>
    <row r="523" spans="1:7" ht="13.5" thickBot="1">
      <c r="A523" s="133"/>
      <c r="B523" s="805" t="s">
        <v>267</v>
      </c>
      <c r="C523" s="806"/>
      <c r="D523" s="807"/>
      <c r="E523" s="113"/>
      <c r="F523" s="131"/>
    </row>
    <row r="524" spans="1:7" ht="13.5" customHeight="1" thickBot="1">
      <c r="A524" s="72">
        <v>68069</v>
      </c>
      <c r="B524" s="784" t="s">
        <v>234</v>
      </c>
      <c r="C524" s="784"/>
      <c r="D524" s="784"/>
      <c r="E524" s="73" t="s">
        <v>64</v>
      </c>
      <c r="F524" s="135"/>
    </row>
    <row r="525" spans="1:7" ht="13.5" thickBot="1">
      <c r="A525" s="133"/>
      <c r="B525" s="805" t="s">
        <v>267</v>
      </c>
      <c r="C525" s="806"/>
      <c r="D525" s="807"/>
      <c r="E525" s="113"/>
      <c r="F525" s="131"/>
    </row>
    <row r="526" spans="1:7" ht="40.5" customHeight="1" thickBot="1">
      <c r="A526" s="72" t="s">
        <v>235</v>
      </c>
      <c r="B526" s="784" t="s">
        <v>268</v>
      </c>
      <c r="C526" s="784"/>
      <c r="D526" s="784"/>
      <c r="E526" s="73" t="s">
        <v>64</v>
      </c>
      <c r="F526" s="135"/>
    </row>
    <row r="527" spans="1:7" ht="13.5" thickBot="1">
      <c r="A527" s="133"/>
      <c r="B527" s="805" t="s">
        <v>267</v>
      </c>
      <c r="C527" s="806"/>
      <c r="D527" s="807"/>
      <c r="E527" s="113"/>
      <c r="F527" s="131"/>
    </row>
    <row r="528" spans="1:7" ht="27" customHeight="1" thickBot="1">
      <c r="A528" s="72" t="s">
        <v>236</v>
      </c>
      <c r="B528" s="784" t="s">
        <v>269</v>
      </c>
      <c r="C528" s="784"/>
      <c r="D528" s="784"/>
      <c r="E528" s="73" t="s">
        <v>64</v>
      </c>
      <c r="F528" s="135"/>
    </row>
    <row r="529" spans="1:6" ht="13.5" thickBot="1">
      <c r="A529" s="133"/>
      <c r="B529" s="805" t="s">
        <v>267</v>
      </c>
      <c r="C529" s="806"/>
      <c r="D529" s="807"/>
      <c r="E529" s="113"/>
      <c r="F529" s="131"/>
    </row>
    <row r="530" spans="1:6" ht="27" customHeight="1" thickBot="1">
      <c r="A530" s="72" t="s">
        <v>237</v>
      </c>
      <c r="B530" s="784" t="s">
        <v>238</v>
      </c>
      <c r="C530" s="784"/>
      <c r="D530" s="784"/>
      <c r="E530" s="73" t="s">
        <v>64</v>
      </c>
      <c r="F530" s="135"/>
    </row>
    <row r="531" spans="1:6" ht="13.5" thickBot="1">
      <c r="A531" s="133"/>
      <c r="B531" s="805" t="s">
        <v>267</v>
      </c>
      <c r="C531" s="806"/>
      <c r="D531" s="807"/>
      <c r="E531" s="113"/>
      <c r="F531" s="131"/>
    </row>
    <row r="532" spans="1:6" ht="27" customHeight="1" thickBot="1">
      <c r="A532" s="72">
        <v>83475</v>
      </c>
      <c r="B532" s="784" t="s">
        <v>239</v>
      </c>
      <c r="C532" s="784"/>
      <c r="D532" s="784"/>
      <c r="E532" s="73" t="s">
        <v>64</v>
      </c>
      <c r="F532" s="135"/>
    </row>
    <row r="533" spans="1:6" ht="13.5" thickBot="1">
      <c r="A533" s="133"/>
      <c r="B533" s="805" t="s">
        <v>267</v>
      </c>
      <c r="C533" s="806"/>
      <c r="D533" s="807"/>
      <c r="E533" s="113"/>
      <c r="F533" s="131"/>
    </row>
    <row r="534" spans="1:6" ht="27" customHeight="1" thickBot="1">
      <c r="A534" s="72">
        <v>72935</v>
      </c>
      <c r="B534" s="784" t="s">
        <v>240</v>
      </c>
      <c r="C534" s="784"/>
      <c r="D534" s="784"/>
      <c r="E534" s="73" t="s">
        <v>17</v>
      </c>
      <c r="F534" s="135"/>
    </row>
    <row r="535" spans="1:6" ht="13.5" thickBot="1">
      <c r="A535" s="133"/>
      <c r="B535" s="805" t="s">
        <v>267</v>
      </c>
      <c r="C535" s="806"/>
      <c r="D535" s="807"/>
      <c r="E535" s="113"/>
      <c r="F535" s="131"/>
    </row>
    <row r="536" spans="1:6" ht="27.75" customHeight="1" thickBot="1">
      <c r="A536" s="72" t="s">
        <v>241</v>
      </c>
      <c r="B536" s="784" t="s">
        <v>242</v>
      </c>
      <c r="C536" s="784"/>
      <c r="D536" s="784"/>
      <c r="E536" s="73" t="s">
        <v>64</v>
      </c>
      <c r="F536" s="135"/>
    </row>
    <row r="537" spans="1:6" ht="13.5" thickBot="1">
      <c r="A537" s="133"/>
      <c r="B537" s="805" t="s">
        <v>267</v>
      </c>
      <c r="C537" s="806"/>
      <c r="D537" s="807"/>
      <c r="E537" s="113"/>
      <c r="F537" s="131"/>
    </row>
    <row r="538" spans="1:6" ht="27.75" customHeight="1" thickBot="1">
      <c r="A538" s="72" t="s">
        <v>243</v>
      </c>
      <c r="B538" s="784" t="s">
        <v>244</v>
      </c>
      <c r="C538" s="784"/>
      <c r="D538" s="784"/>
      <c r="E538" s="73" t="s">
        <v>17</v>
      </c>
      <c r="F538" s="135"/>
    </row>
    <row r="539" spans="1:6" ht="13.5" thickBot="1">
      <c r="A539" s="133"/>
      <c r="B539" s="805" t="s">
        <v>267</v>
      </c>
      <c r="C539" s="806"/>
      <c r="D539" s="807"/>
      <c r="E539" s="113"/>
      <c r="F539" s="131"/>
    </row>
    <row r="540" spans="1:6" ht="13.5" customHeight="1" thickBot="1">
      <c r="A540" s="72">
        <v>83540</v>
      </c>
      <c r="B540" s="784" t="s">
        <v>270</v>
      </c>
      <c r="C540" s="784"/>
      <c r="D540" s="784"/>
      <c r="E540" s="73" t="s">
        <v>64</v>
      </c>
      <c r="F540" s="135"/>
    </row>
    <row r="541" spans="1:6" ht="13.5" thickBot="1">
      <c r="A541" s="133"/>
      <c r="B541" s="805" t="s">
        <v>267</v>
      </c>
      <c r="C541" s="806"/>
      <c r="D541" s="807"/>
      <c r="E541" s="113"/>
      <c r="F541" s="131"/>
    </row>
    <row r="542" spans="1:6" ht="27.75" customHeight="1" thickBot="1">
      <c r="A542" s="72">
        <v>72331</v>
      </c>
      <c r="B542" s="784" t="s">
        <v>245</v>
      </c>
      <c r="C542" s="784"/>
      <c r="D542" s="784"/>
      <c r="E542" s="73" t="s">
        <v>64</v>
      </c>
      <c r="F542" s="135"/>
    </row>
    <row r="543" spans="1:6" ht="13.5" thickBot="1">
      <c r="A543" s="133"/>
      <c r="B543" s="805" t="s">
        <v>267</v>
      </c>
      <c r="C543" s="806"/>
      <c r="D543" s="807"/>
      <c r="E543" s="113"/>
      <c r="F543" s="131"/>
    </row>
    <row r="544" spans="1:6" ht="27" customHeight="1" thickBot="1">
      <c r="A544" s="72">
        <v>72332</v>
      </c>
      <c r="B544" s="784" t="s">
        <v>246</v>
      </c>
      <c r="C544" s="784"/>
      <c r="D544" s="784"/>
      <c r="E544" s="73" t="s">
        <v>64</v>
      </c>
      <c r="F544" s="135"/>
    </row>
    <row r="545" spans="1:6" ht="13.5" thickBot="1">
      <c r="A545" s="133"/>
      <c r="B545" s="805" t="s">
        <v>267</v>
      </c>
      <c r="C545" s="806"/>
      <c r="D545" s="807"/>
      <c r="E545" s="113"/>
      <c r="F545" s="131"/>
    </row>
    <row r="546" spans="1:6" ht="27" customHeight="1" thickBot="1">
      <c r="A546" s="72">
        <v>83467</v>
      </c>
      <c r="B546" s="784" t="s">
        <v>247</v>
      </c>
      <c r="C546" s="784"/>
      <c r="D546" s="784"/>
      <c r="E546" s="73" t="s">
        <v>64</v>
      </c>
      <c r="F546" s="135"/>
    </row>
    <row r="547" spans="1:6" ht="13.5" thickBot="1">
      <c r="A547" s="133"/>
      <c r="B547" s="805" t="s">
        <v>267</v>
      </c>
      <c r="C547" s="806"/>
      <c r="D547" s="807"/>
      <c r="E547" s="113"/>
      <c r="F547" s="131"/>
    </row>
    <row r="548" spans="1:6" ht="13.5" thickBot="1">
      <c r="A548" s="72">
        <v>72333</v>
      </c>
      <c r="B548" s="784" t="s">
        <v>248</v>
      </c>
      <c r="C548" s="784"/>
      <c r="D548" s="784"/>
      <c r="E548" s="73" t="s">
        <v>64</v>
      </c>
      <c r="F548" s="135"/>
    </row>
    <row r="549" spans="1:6" ht="13.5" thickBot="1">
      <c r="A549" s="133"/>
      <c r="B549" s="805" t="s">
        <v>267</v>
      </c>
      <c r="C549" s="806"/>
      <c r="D549" s="807"/>
      <c r="E549" s="113"/>
      <c r="F549" s="131"/>
    </row>
    <row r="550" spans="1:6" ht="13.5" thickBot="1">
      <c r="A550" s="72">
        <v>83566</v>
      </c>
      <c r="B550" s="784" t="s">
        <v>249</v>
      </c>
      <c r="C550" s="784"/>
      <c r="D550" s="784"/>
      <c r="E550" s="73" t="s">
        <v>64</v>
      </c>
      <c r="F550" s="135"/>
    </row>
    <row r="551" spans="1:6" ht="13.5" thickBot="1">
      <c r="A551" s="133"/>
      <c r="B551" s="805" t="s">
        <v>267</v>
      </c>
      <c r="C551" s="806"/>
      <c r="D551" s="807"/>
      <c r="E551" s="113"/>
      <c r="F551" s="131"/>
    </row>
    <row r="552" spans="1:6" ht="13.5" customHeight="1" thickBot="1">
      <c r="A552" s="72">
        <v>72336</v>
      </c>
      <c r="B552" s="784" t="s">
        <v>271</v>
      </c>
      <c r="C552" s="784"/>
      <c r="D552" s="784"/>
      <c r="E552" s="73" t="s">
        <v>64</v>
      </c>
      <c r="F552" s="135"/>
    </row>
    <row r="553" spans="1:6" ht="13.5" thickBot="1">
      <c r="A553" s="133"/>
      <c r="B553" s="805" t="s">
        <v>267</v>
      </c>
      <c r="C553" s="806"/>
      <c r="D553" s="807"/>
      <c r="E553" s="113"/>
      <c r="F553" s="131"/>
    </row>
    <row r="554" spans="1:6" ht="13.5" thickBot="1">
      <c r="A554" s="72">
        <v>83386</v>
      </c>
      <c r="B554" s="784" t="s">
        <v>250</v>
      </c>
      <c r="C554" s="784"/>
      <c r="D554" s="784"/>
      <c r="E554" s="73" t="s">
        <v>64</v>
      </c>
      <c r="F554" s="135"/>
    </row>
    <row r="555" spans="1:6" ht="13.5" thickBot="1">
      <c r="A555" s="133"/>
      <c r="B555" s="805" t="s">
        <v>267</v>
      </c>
      <c r="C555" s="806"/>
      <c r="D555" s="807"/>
      <c r="E555" s="113"/>
      <c r="F555" s="131"/>
    </row>
    <row r="556" spans="1:6" ht="13.5" customHeight="1" thickBot="1">
      <c r="A556" s="72">
        <v>83387</v>
      </c>
      <c r="B556" s="784" t="s">
        <v>251</v>
      </c>
      <c r="C556" s="784"/>
      <c r="D556" s="784"/>
      <c r="E556" s="73" t="s">
        <v>64</v>
      </c>
      <c r="F556" s="135"/>
    </row>
    <row r="557" spans="1:6" ht="13.5" thickBot="1">
      <c r="A557" s="133"/>
      <c r="B557" s="805" t="s">
        <v>267</v>
      </c>
      <c r="C557" s="806"/>
      <c r="D557" s="807"/>
      <c r="E557" s="113"/>
      <c r="F557" s="131"/>
    </row>
    <row r="558" spans="1:6" ht="13.5" thickBot="1">
      <c r="A558" s="72">
        <v>83448</v>
      </c>
      <c r="B558" s="784" t="s">
        <v>252</v>
      </c>
      <c r="C558" s="784"/>
      <c r="D558" s="784"/>
      <c r="E558" s="73" t="s">
        <v>64</v>
      </c>
      <c r="F558" s="135"/>
    </row>
    <row r="559" spans="1:6" ht="13.5" thickBot="1">
      <c r="A559" s="133"/>
      <c r="B559" s="805" t="s">
        <v>267</v>
      </c>
      <c r="C559" s="806"/>
      <c r="D559" s="807"/>
      <c r="E559" s="113"/>
      <c r="F559" s="131"/>
    </row>
    <row r="560" spans="1:6" ht="13.5" customHeight="1" thickBot="1">
      <c r="A560" s="72">
        <v>83450</v>
      </c>
      <c r="B560" s="784" t="s">
        <v>253</v>
      </c>
      <c r="C560" s="784"/>
      <c r="D560" s="784"/>
      <c r="E560" s="73" t="s">
        <v>64</v>
      </c>
      <c r="F560" s="135"/>
    </row>
    <row r="561" spans="1:6" ht="13.5" thickBot="1">
      <c r="A561" s="133"/>
      <c r="B561" s="805" t="s">
        <v>267</v>
      </c>
      <c r="C561" s="806"/>
      <c r="D561" s="807"/>
      <c r="E561" s="113"/>
      <c r="F561" s="131"/>
    </row>
    <row r="562" spans="1:6" ht="13.5" thickBot="1">
      <c r="A562" s="72">
        <v>72255</v>
      </c>
      <c r="B562" s="784" t="s">
        <v>254</v>
      </c>
      <c r="C562" s="784"/>
      <c r="D562" s="784"/>
      <c r="E562" s="73" t="s">
        <v>17</v>
      </c>
      <c r="F562" s="135"/>
    </row>
    <row r="563" spans="1:6" ht="13.5" thickBot="1">
      <c r="A563" s="133"/>
      <c r="B563" s="805" t="s">
        <v>267</v>
      </c>
      <c r="C563" s="806"/>
      <c r="D563" s="807"/>
      <c r="E563" s="113"/>
      <c r="F563" s="131"/>
    </row>
    <row r="564" spans="1:6" ht="27" customHeight="1" thickBot="1">
      <c r="A564" s="72" t="s">
        <v>255</v>
      </c>
      <c r="B564" s="784" t="s">
        <v>272</v>
      </c>
      <c r="C564" s="784"/>
      <c r="D564" s="784"/>
      <c r="E564" s="73" t="s">
        <v>17</v>
      </c>
      <c r="F564" s="135"/>
    </row>
    <row r="565" spans="1:6" ht="13.5" thickBot="1">
      <c r="A565" s="133"/>
      <c r="B565" s="805" t="s">
        <v>267</v>
      </c>
      <c r="C565" s="806"/>
      <c r="D565" s="807"/>
      <c r="E565" s="113"/>
      <c r="F565" s="131"/>
    </row>
    <row r="566" spans="1:6" ht="13.5" thickBot="1">
      <c r="A566" s="72">
        <v>10240</v>
      </c>
      <c r="B566" s="784" t="s">
        <v>256</v>
      </c>
      <c r="C566" s="784"/>
      <c r="D566" s="784"/>
      <c r="E566" s="73" t="s">
        <v>64</v>
      </c>
      <c r="F566" s="135"/>
    </row>
    <row r="567" spans="1:6" ht="13.5" thickBot="1">
      <c r="A567" s="133"/>
      <c r="B567" s="805" t="s">
        <v>267</v>
      </c>
      <c r="C567" s="806"/>
      <c r="D567" s="807"/>
      <c r="E567" s="113"/>
      <c r="F567" s="131"/>
    </row>
    <row r="568" spans="1:6" ht="27.75" customHeight="1" thickBot="1">
      <c r="A568" s="72">
        <v>83425</v>
      </c>
      <c r="B568" s="784" t="s">
        <v>257</v>
      </c>
      <c r="C568" s="784"/>
      <c r="D568" s="784"/>
      <c r="E568" s="73" t="s">
        <v>17</v>
      </c>
      <c r="F568" s="135"/>
    </row>
    <row r="569" spans="1:6" ht="13.5" thickBot="1">
      <c r="A569" s="133"/>
      <c r="B569" s="805" t="s">
        <v>267</v>
      </c>
      <c r="C569" s="806"/>
      <c r="D569" s="807"/>
      <c r="E569" s="113"/>
      <c r="F569" s="131"/>
    </row>
    <row r="570" spans="1:6" ht="27.75" customHeight="1" thickBot="1">
      <c r="A570" s="72">
        <v>83377</v>
      </c>
      <c r="B570" s="784" t="s">
        <v>258</v>
      </c>
      <c r="C570" s="784"/>
      <c r="D570" s="784"/>
      <c r="E570" s="73" t="s">
        <v>64</v>
      </c>
      <c r="F570" s="135"/>
    </row>
    <row r="571" spans="1:6" ht="13.5" thickBot="1">
      <c r="A571" s="133"/>
      <c r="B571" s="805" t="s">
        <v>267</v>
      </c>
      <c r="C571" s="806"/>
      <c r="D571" s="807"/>
      <c r="E571" s="113"/>
      <c r="F571" s="131"/>
    </row>
    <row r="572" spans="1:6" ht="27.75" customHeight="1" thickBot="1">
      <c r="A572" s="72">
        <v>72261</v>
      </c>
      <c r="B572" s="784" t="s">
        <v>259</v>
      </c>
      <c r="C572" s="784"/>
      <c r="D572" s="784"/>
      <c r="E572" s="73" t="s">
        <v>64</v>
      </c>
      <c r="F572" s="135"/>
    </row>
    <row r="573" spans="1:6" ht="13.5" thickBot="1">
      <c r="A573" s="133"/>
      <c r="B573" s="805" t="s">
        <v>267</v>
      </c>
      <c r="C573" s="806"/>
      <c r="D573" s="807"/>
      <c r="E573" s="113"/>
      <c r="F573" s="131"/>
    </row>
    <row r="574" spans="1:6" ht="27" customHeight="1" thickBot="1">
      <c r="A574" s="72">
        <v>151705</v>
      </c>
      <c r="B574" s="784" t="s">
        <v>260</v>
      </c>
      <c r="C574" s="784"/>
      <c r="D574" s="784"/>
      <c r="E574" s="73" t="s">
        <v>64</v>
      </c>
      <c r="F574" s="135"/>
    </row>
    <row r="575" spans="1:6" ht="13.5" thickBot="1">
      <c r="A575" s="133"/>
      <c r="B575" s="805" t="s">
        <v>267</v>
      </c>
      <c r="C575" s="806"/>
      <c r="D575" s="807"/>
      <c r="E575" s="113"/>
      <c r="F575" s="131"/>
    </row>
    <row r="576" spans="1:6" ht="27" customHeight="1" thickBot="1">
      <c r="A576" s="72">
        <v>180207</v>
      </c>
      <c r="B576" s="784" t="s">
        <v>261</v>
      </c>
      <c r="C576" s="784"/>
      <c r="D576" s="784"/>
      <c r="E576" s="73" t="s">
        <v>64</v>
      </c>
      <c r="F576" s="135"/>
    </row>
    <row r="577" spans="1:6" ht="13.5" thickBot="1">
      <c r="A577" s="133"/>
      <c r="B577" s="805" t="s">
        <v>267</v>
      </c>
      <c r="C577" s="806"/>
      <c r="D577" s="807"/>
      <c r="E577" s="113"/>
      <c r="F577" s="131"/>
    </row>
    <row r="578" spans="1:6" ht="13.5" thickBot="1">
      <c r="A578" s="72">
        <v>72554</v>
      </c>
      <c r="B578" s="784" t="s">
        <v>262</v>
      </c>
      <c r="C578" s="784"/>
      <c r="D578" s="784"/>
      <c r="E578" s="73" t="s">
        <v>64</v>
      </c>
      <c r="F578" s="135"/>
    </row>
    <row r="579" spans="1:6" ht="13.5" thickBot="1">
      <c r="A579" s="133"/>
      <c r="B579" s="805" t="s">
        <v>267</v>
      </c>
      <c r="C579" s="806"/>
      <c r="D579" s="807"/>
      <c r="E579" s="113"/>
      <c r="F579" s="131"/>
    </row>
    <row r="580" spans="1:6" ht="27.75" customHeight="1" thickBot="1">
      <c r="A580" s="72" t="s">
        <v>264</v>
      </c>
      <c r="B580" s="784" t="s">
        <v>263</v>
      </c>
      <c r="C580" s="784"/>
      <c r="D580" s="784"/>
      <c r="E580" s="73" t="s">
        <v>64</v>
      </c>
      <c r="F580" s="135"/>
    </row>
    <row r="581" spans="1:6" ht="13.5" thickBot="1">
      <c r="A581" s="133"/>
      <c r="B581" s="805" t="s">
        <v>267</v>
      </c>
      <c r="C581" s="806"/>
      <c r="D581" s="807"/>
      <c r="E581" s="113"/>
      <c r="F581" s="131"/>
    </row>
    <row r="582" spans="1:6" ht="27" customHeight="1" thickBot="1">
      <c r="A582" s="72">
        <v>72334</v>
      </c>
      <c r="B582" s="784" t="s">
        <v>265</v>
      </c>
      <c r="C582" s="784"/>
      <c r="D582" s="784"/>
      <c r="E582" s="73" t="s">
        <v>64</v>
      </c>
      <c r="F582" s="135"/>
    </row>
    <row r="583" spans="1:6" ht="13.5" thickBot="1">
      <c r="A583" s="133"/>
      <c r="B583" s="805" t="s">
        <v>267</v>
      </c>
      <c r="C583" s="806"/>
      <c r="D583" s="807"/>
      <c r="E583" s="113"/>
      <c r="F583" s="131"/>
    </row>
    <row r="584" spans="1:6" ht="13.5" thickBot="1">
      <c r="A584" s="71">
        <v>14</v>
      </c>
      <c r="B584" s="826" t="s">
        <v>109</v>
      </c>
      <c r="C584" s="782"/>
      <c r="D584" s="782"/>
      <c r="E584" s="782"/>
      <c r="F584" s="783"/>
    </row>
    <row r="585" spans="1:6" ht="41.25" customHeight="1" thickBot="1">
      <c r="A585" s="226">
        <v>170132</v>
      </c>
      <c r="B585" s="814" t="s">
        <v>134</v>
      </c>
      <c r="C585" s="815"/>
      <c r="D585" s="816"/>
      <c r="E585" s="73" t="s">
        <v>64</v>
      </c>
      <c r="F585" s="136">
        <v>1</v>
      </c>
    </row>
    <row r="586" spans="1:6" ht="13.5" thickBot="1">
      <c r="A586" s="133"/>
      <c r="B586" s="805" t="s">
        <v>229</v>
      </c>
      <c r="C586" s="806"/>
      <c r="D586" s="807"/>
      <c r="E586" s="113"/>
      <c r="F586" s="318"/>
    </row>
    <row r="587" spans="1:6" ht="53.25" customHeight="1" thickBot="1">
      <c r="A587" s="226">
        <v>170135</v>
      </c>
      <c r="B587" s="814" t="s">
        <v>71</v>
      </c>
      <c r="C587" s="815"/>
      <c r="D587" s="816"/>
      <c r="E587" s="73" t="s">
        <v>64</v>
      </c>
      <c r="F587" s="136">
        <v>1</v>
      </c>
    </row>
    <row r="588" spans="1:6" s="138" customFormat="1" ht="13.5" thickBot="1">
      <c r="A588" s="292"/>
      <c r="B588" s="805" t="s">
        <v>229</v>
      </c>
      <c r="C588" s="806"/>
      <c r="D588" s="807"/>
      <c r="E588" s="137"/>
      <c r="F588" s="319"/>
    </row>
    <row r="589" spans="1:6" s="138" customFormat="1" ht="27" customHeight="1" thickBot="1">
      <c r="A589" s="226">
        <v>170304</v>
      </c>
      <c r="B589" s="814" t="s">
        <v>72</v>
      </c>
      <c r="C589" s="815"/>
      <c r="D589" s="816"/>
      <c r="E589" s="73" t="s">
        <v>64</v>
      </c>
      <c r="F589" s="136">
        <v>1</v>
      </c>
    </row>
    <row r="590" spans="1:6" s="138" customFormat="1" ht="13.5" thickBot="1">
      <c r="A590" s="292"/>
      <c r="B590" s="805" t="s">
        <v>229</v>
      </c>
      <c r="C590" s="806"/>
      <c r="D590" s="807"/>
      <c r="E590" s="137"/>
      <c r="F590" s="319"/>
    </row>
    <row r="591" spans="1:6" s="138" customFormat="1" ht="27" customHeight="1" thickBot="1">
      <c r="A591" s="226">
        <v>170346</v>
      </c>
      <c r="B591" s="814" t="s">
        <v>73</v>
      </c>
      <c r="C591" s="815"/>
      <c r="D591" s="816"/>
      <c r="E591" s="73" t="s">
        <v>64</v>
      </c>
      <c r="F591" s="136">
        <v>5</v>
      </c>
    </row>
    <row r="592" spans="1:6" s="138" customFormat="1" ht="13.5" thickBot="1">
      <c r="A592" s="292"/>
      <c r="B592" s="805" t="s">
        <v>229</v>
      </c>
      <c r="C592" s="806"/>
      <c r="D592" s="807"/>
      <c r="E592" s="137"/>
      <c r="F592" s="319"/>
    </row>
    <row r="593" spans="1:6" s="138" customFormat="1" ht="26.25" thickBot="1">
      <c r="A593" s="226" t="s">
        <v>581</v>
      </c>
      <c r="B593" s="814" t="s">
        <v>225</v>
      </c>
      <c r="C593" s="815"/>
      <c r="D593" s="816"/>
      <c r="E593" s="73" t="s">
        <v>64</v>
      </c>
      <c r="F593" s="136">
        <v>1</v>
      </c>
    </row>
    <row r="594" spans="1:6" s="138" customFormat="1" ht="13.5" thickBot="1">
      <c r="A594" s="352"/>
      <c r="B594" s="897" t="s">
        <v>229</v>
      </c>
      <c r="C594" s="898"/>
      <c r="D594" s="899"/>
      <c r="E594" s="353"/>
      <c r="F594" s="354"/>
    </row>
    <row r="595" spans="1:6" s="138" customFormat="1" ht="54.75" customHeight="1" thickBot="1">
      <c r="A595" s="226">
        <v>170504</v>
      </c>
      <c r="B595" s="814" t="s">
        <v>301</v>
      </c>
      <c r="C595" s="815"/>
      <c r="D595" s="816"/>
      <c r="E595" s="73" t="s">
        <v>64</v>
      </c>
      <c r="F595" s="136">
        <v>3</v>
      </c>
    </row>
    <row r="596" spans="1:6" s="138" customFormat="1" ht="13.5" thickBot="1">
      <c r="A596" s="355"/>
      <c r="B596" s="897" t="s">
        <v>229</v>
      </c>
      <c r="C596" s="898"/>
      <c r="D596" s="899"/>
      <c r="E596" s="356"/>
      <c r="F596" s="356"/>
    </row>
    <row r="597" spans="1:6" s="138" customFormat="1" ht="27" customHeight="1" thickBot="1">
      <c r="A597" s="226">
        <v>170111</v>
      </c>
      <c r="B597" s="814" t="s">
        <v>302</v>
      </c>
      <c r="C597" s="815"/>
      <c r="D597" s="816"/>
      <c r="E597" s="73" t="s">
        <v>64</v>
      </c>
      <c r="F597" s="136">
        <v>5</v>
      </c>
    </row>
    <row r="598" spans="1:6" s="138" customFormat="1" ht="13.5" thickBot="1">
      <c r="A598" s="357"/>
      <c r="B598" s="884" t="s">
        <v>229</v>
      </c>
      <c r="C598" s="885"/>
      <c r="D598" s="886"/>
      <c r="E598" s="358"/>
      <c r="F598" s="353"/>
    </row>
    <row r="599" spans="1:6" s="138" customFormat="1" ht="66.75" customHeight="1" thickBot="1">
      <c r="A599" s="226">
        <v>72739</v>
      </c>
      <c r="B599" s="814" t="s">
        <v>312</v>
      </c>
      <c r="C599" s="815"/>
      <c r="D599" s="816"/>
      <c r="E599" s="73" t="s">
        <v>64</v>
      </c>
      <c r="F599" s="136">
        <v>4</v>
      </c>
    </row>
    <row r="600" spans="1:6" s="138" customFormat="1" ht="13.5" thickBot="1">
      <c r="A600" s="389"/>
      <c r="B600" s="884" t="s">
        <v>229</v>
      </c>
      <c r="C600" s="885"/>
      <c r="D600" s="886"/>
      <c r="E600" s="129"/>
      <c r="F600" s="390"/>
    </row>
    <row r="601" spans="1:6" s="138" customFormat="1" ht="26.25" customHeight="1" thickBot="1">
      <c r="A601" s="226">
        <v>9535</v>
      </c>
      <c r="B601" s="814" t="s">
        <v>353</v>
      </c>
      <c r="C601" s="815"/>
      <c r="D601" s="816"/>
      <c r="E601" s="73" t="s">
        <v>64</v>
      </c>
      <c r="F601" s="136">
        <v>4</v>
      </c>
    </row>
    <row r="602" spans="1:6" s="138" customFormat="1" ht="13.5" thickBot="1">
      <c r="A602" s="389"/>
      <c r="B602" s="884" t="s">
        <v>229</v>
      </c>
      <c r="C602" s="885"/>
      <c r="D602" s="886"/>
      <c r="E602" s="129"/>
      <c r="F602" s="390"/>
    </row>
    <row r="603" spans="1:6" s="138" customFormat="1" ht="79.5" customHeight="1" thickBot="1">
      <c r="A603" s="226">
        <v>86943</v>
      </c>
      <c r="B603" s="814" t="s">
        <v>354</v>
      </c>
      <c r="C603" s="815"/>
      <c r="D603" s="816"/>
      <c r="E603" s="73" t="s">
        <v>64</v>
      </c>
      <c r="F603" s="136">
        <v>2</v>
      </c>
    </row>
    <row r="604" spans="1:6" s="138" customFormat="1" ht="13.5" thickBot="1">
      <c r="A604" s="389"/>
      <c r="B604" s="884" t="s">
        <v>229</v>
      </c>
      <c r="C604" s="885"/>
      <c r="D604" s="886"/>
      <c r="E604" s="129"/>
      <c r="F604" s="390"/>
    </row>
    <row r="605" spans="1:6" s="138" customFormat="1" ht="42.75" customHeight="1" thickBot="1">
      <c r="A605" s="226">
        <v>86911</v>
      </c>
      <c r="B605" s="814" t="s">
        <v>560</v>
      </c>
      <c r="C605" s="815"/>
      <c r="D605" s="816"/>
      <c r="E605" s="73" t="s">
        <v>64</v>
      </c>
      <c r="F605" s="136">
        <v>4</v>
      </c>
    </row>
    <row r="606" spans="1:6" s="138" customFormat="1" ht="13.5" thickBot="1">
      <c r="A606" s="389"/>
      <c r="B606" s="884" t="s">
        <v>229</v>
      </c>
      <c r="C606" s="885"/>
      <c r="D606" s="886"/>
      <c r="E606" s="129"/>
      <c r="F606" s="390"/>
    </row>
    <row r="607" spans="1:6" ht="13.5" thickBot="1">
      <c r="A607" s="71">
        <v>15</v>
      </c>
      <c r="B607" s="826" t="s">
        <v>11</v>
      </c>
      <c r="C607" s="782"/>
      <c r="D607" s="782"/>
      <c r="E607" s="782"/>
      <c r="F607" s="783"/>
    </row>
    <row r="608" spans="1:6" ht="28.5" customHeight="1" thickBot="1">
      <c r="A608" s="72" t="s">
        <v>284</v>
      </c>
      <c r="B608" s="784" t="s">
        <v>283</v>
      </c>
      <c r="C608" s="784"/>
      <c r="D608" s="784"/>
      <c r="E608" s="73" t="s">
        <v>87</v>
      </c>
      <c r="F608" s="74">
        <f>ROUNDDOWN(F610+F611+F612+F613+F614+F615,2)</f>
        <v>669.04</v>
      </c>
    </row>
    <row r="609" spans="1:6">
      <c r="A609" s="75"/>
      <c r="B609" s="788" t="s">
        <v>83</v>
      </c>
      <c r="C609" s="790"/>
      <c r="D609" s="116" t="s">
        <v>105</v>
      </c>
      <c r="E609" s="116" t="s">
        <v>285</v>
      </c>
      <c r="F609" s="323" t="s">
        <v>13</v>
      </c>
    </row>
    <row r="610" spans="1:6" ht="25.5" customHeight="1">
      <c r="A610" s="989" t="s">
        <v>361</v>
      </c>
      <c r="B610" s="887" t="s">
        <v>356</v>
      </c>
      <c r="C610" s="887"/>
      <c r="D610" s="78">
        <v>123.75</v>
      </c>
      <c r="E610" s="324">
        <v>3.3</v>
      </c>
      <c r="F610" s="324">
        <f>ROUNDDOWN(E610*D610,2)</f>
        <v>408.37</v>
      </c>
    </row>
    <row r="611" spans="1:6" ht="27" customHeight="1">
      <c r="A611" s="989"/>
      <c r="B611" s="887" t="s">
        <v>357</v>
      </c>
      <c r="C611" s="887"/>
      <c r="D611" s="78">
        <v>19.89</v>
      </c>
      <c r="E611" s="324">
        <v>3.3</v>
      </c>
      <c r="F611" s="324">
        <f>ROUNDDOWN(E611*D611,2)</f>
        <v>65.63</v>
      </c>
    </row>
    <row r="612" spans="1:6">
      <c r="A612" s="989"/>
      <c r="B612" s="879" t="s">
        <v>292</v>
      </c>
      <c r="C612" s="879"/>
      <c r="D612" s="408">
        <v>17.68</v>
      </c>
      <c r="E612" s="324">
        <v>3.3</v>
      </c>
      <c r="F612" s="324">
        <f>ROUNDDOWN(E612*D612,2)</f>
        <v>58.34</v>
      </c>
    </row>
    <row r="613" spans="1:6" ht="25.5" customHeight="1">
      <c r="A613" s="989"/>
      <c r="B613" s="794" t="s">
        <v>358</v>
      </c>
      <c r="C613" s="794"/>
      <c r="D613" s="78">
        <v>28.47</v>
      </c>
      <c r="E613" s="324">
        <v>3.3</v>
      </c>
      <c r="F613" s="324">
        <f>ROUNDDOWN(E613*D613,2)</f>
        <v>93.95</v>
      </c>
    </row>
    <row r="614" spans="1:6" ht="25.5" customHeight="1">
      <c r="A614" s="989"/>
      <c r="B614" s="887" t="s">
        <v>359</v>
      </c>
      <c r="C614" s="887"/>
      <c r="D614" s="78">
        <f>4.58+6.34</f>
        <v>10.92</v>
      </c>
      <c r="E614" s="324">
        <v>3.3</v>
      </c>
      <c r="F614" s="324">
        <f>ROUNDDOWN(E614*D614,2)</f>
        <v>36.03</v>
      </c>
    </row>
    <row r="615" spans="1:6" ht="29.25" customHeight="1" thickBot="1">
      <c r="A615" s="407"/>
      <c r="B615" s="895" t="s">
        <v>360</v>
      </c>
      <c r="C615" s="895"/>
      <c r="D615" s="86">
        <f>((2.6*0.1)*4*3)+((3*0.1)*4*3)</f>
        <v>6.7200000000000006</v>
      </c>
      <c r="E615" s="446"/>
      <c r="F615" s="446">
        <f>D615</f>
        <v>6.7200000000000006</v>
      </c>
    </row>
    <row r="616" spans="1:6" ht="28.5" customHeight="1" thickBot="1">
      <c r="A616" s="72">
        <v>84659</v>
      </c>
      <c r="B616" s="784" t="s">
        <v>282</v>
      </c>
      <c r="C616" s="784"/>
      <c r="D616" s="784"/>
      <c r="E616" s="73" t="s">
        <v>87</v>
      </c>
      <c r="F616" s="74">
        <f>ROUNDDOWN(F618+F619+F620+F621+F622+F623+F624+F625+F626+F627+F628+F629+F630+F631,2)</f>
        <v>47.46</v>
      </c>
    </row>
    <row r="617" spans="1:6" ht="51">
      <c r="A617" s="132"/>
      <c r="B617" s="330" t="s">
        <v>288</v>
      </c>
      <c r="C617" s="116" t="s">
        <v>84</v>
      </c>
      <c r="D617" s="116" t="s">
        <v>90</v>
      </c>
      <c r="E617" s="330" t="s">
        <v>287</v>
      </c>
      <c r="F617" s="139" t="s">
        <v>13</v>
      </c>
    </row>
    <row r="618" spans="1:6">
      <c r="A618" s="999" t="s">
        <v>286</v>
      </c>
      <c r="B618" s="113" t="s">
        <v>347</v>
      </c>
      <c r="C618" s="140">
        <v>0.8</v>
      </c>
      <c r="D618" s="141">
        <v>2.1</v>
      </c>
      <c r="E618" s="140">
        <v>1</v>
      </c>
      <c r="F618" s="322">
        <f>ROUNDDOWN((C618*D618*E618)*2,2)</f>
        <v>3.36</v>
      </c>
    </row>
    <row r="619" spans="1:6">
      <c r="A619" s="1000"/>
      <c r="B619" s="113" t="s">
        <v>348</v>
      </c>
      <c r="C619" s="325">
        <v>0.8</v>
      </c>
      <c r="D619" s="326">
        <v>2.1</v>
      </c>
      <c r="E619" s="140">
        <v>1</v>
      </c>
      <c r="F619" s="322">
        <f t="shared" ref="F619:F631" si="16">ROUNDDOWN((C619*D619*E619)*2,2)</f>
        <v>3.36</v>
      </c>
    </row>
    <row r="620" spans="1:6">
      <c r="A620" s="1000"/>
      <c r="B620" s="108" t="s">
        <v>116</v>
      </c>
      <c r="C620" s="140">
        <v>0.8</v>
      </c>
      <c r="D620" s="326">
        <v>2.1</v>
      </c>
      <c r="E620" s="140">
        <v>1</v>
      </c>
      <c r="F620" s="322">
        <f t="shared" si="16"/>
        <v>3.36</v>
      </c>
    </row>
    <row r="621" spans="1:6">
      <c r="A621" s="1000"/>
      <c r="B621" s="108" t="s">
        <v>153</v>
      </c>
      <c r="C621" s="140">
        <v>0.8</v>
      </c>
      <c r="D621" s="326">
        <v>2.1</v>
      </c>
      <c r="E621" s="140">
        <v>1</v>
      </c>
      <c r="F621" s="322">
        <f t="shared" si="16"/>
        <v>3.36</v>
      </c>
    </row>
    <row r="622" spans="1:6">
      <c r="A622" s="1000"/>
      <c r="B622" s="108" t="s">
        <v>154</v>
      </c>
      <c r="C622" s="140">
        <v>0.8</v>
      </c>
      <c r="D622" s="326">
        <v>2.1</v>
      </c>
      <c r="E622" s="140">
        <v>1</v>
      </c>
      <c r="F622" s="322">
        <f t="shared" si="16"/>
        <v>3.36</v>
      </c>
    </row>
    <row r="623" spans="1:6">
      <c r="A623" s="1000"/>
      <c r="B623" s="108" t="s">
        <v>363</v>
      </c>
      <c r="C623" s="140">
        <v>0.8</v>
      </c>
      <c r="D623" s="326">
        <v>2.1</v>
      </c>
      <c r="E623" s="140">
        <v>1</v>
      </c>
      <c r="F623" s="322">
        <f t="shared" si="16"/>
        <v>3.36</v>
      </c>
    </row>
    <row r="624" spans="1:6">
      <c r="A624" s="1000"/>
      <c r="B624" s="108" t="s">
        <v>349</v>
      </c>
      <c r="C624" s="140">
        <v>0.8</v>
      </c>
      <c r="D624" s="326">
        <v>2.1</v>
      </c>
      <c r="E624" s="140">
        <v>1</v>
      </c>
      <c r="F624" s="322">
        <f t="shared" si="16"/>
        <v>3.36</v>
      </c>
    </row>
    <row r="625" spans="1:6">
      <c r="A625" s="1000"/>
      <c r="B625" s="108" t="s">
        <v>292</v>
      </c>
      <c r="C625" s="140">
        <v>0.8</v>
      </c>
      <c r="D625" s="326">
        <v>2.1</v>
      </c>
      <c r="E625" s="140">
        <v>1</v>
      </c>
      <c r="F625" s="322">
        <f t="shared" si="16"/>
        <v>3.36</v>
      </c>
    </row>
    <row r="626" spans="1:6">
      <c r="A626" s="1000"/>
      <c r="B626" s="108" t="s">
        <v>362</v>
      </c>
      <c r="C626" s="140">
        <v>0.8</v>
      </c>
      <c r="D626" s="326">
        <v>2.1</v>
      </c>
      <c r="E626" s="140">
        <v>1</v>
      </c>
      <c r="F626" s="322">
        <f t="shared" si="16"/>
        <v>3.36</v>
      </c>
    </row>
    <row r="627" spans="1:6">
      <c r="A627" s="1000"/>
      <c r="B627" s="108" t="s">
        <v>364</v>
      </c>
      <c r="C627" s="140">
        <v>0.8</v>
      </c>
      <c r="D627" s="326">
        <v>2.1</v>
      </c>
      <c r="E627" s="140">
        <v>1</v>
      </c>
      <c r="F627" s="322">
        <f t="shared" si="16"/>
        <v>3.36</v>
      </c>
    </row>
    <row r="628" spans="1:6">
      <c r="A628" s="1000"/>
      <c r="B628" s="108" t="s">
        <v>365</v>
      </c>
      <c r="C628" s="140">
        <v>0.8</v>
      </c>
      <c r="D628" s="326">
        <v>2.1</v>
      </c>
      <c r="E628" s="140">
        <v>1</v>
      </c>
      <c r="F628" s="322">
        <f t="shared" si="16"/>
        <v>3.36</v>
      </c>
    </row>
    <row r="629" spans="1:6">
      <c r="A629" s="1000"/>
      <c r="B629" s="108" t="s">
        <v>366</v>
      </c>
      <c r="C629" s="140">
        <v>0.8</v>
      </c>
      <c r="D629" s="326">
        <v>2.1</v>
      </c>
      <c r="E629" s="140">
        <v>1</v>
      </c>
      <c r="F629" s="322">
        <f t="shared" si="16"/>
        <v>3.36</v>
      </c>
    </row>
    <row r="630" spans="1:6">
      <c r="A630" s="1000"/>
      <c r="B630" s="108" t="s">
        <v>367</v>
      </c>
      <c r="C630" s="140">
        <v>0.8</v>
      </c>
      <c r="D630" s="326">
        <v>2.1</v>
      </c>
      <c r="E630" s="140">
        <v>1</v>
      </c>
      <c r="F630" s="322">
        <f t="shared" si="16"/>
        <v>3.36</v>
      </c>
    </row>
    <row r="631" spans="1:6" ht="13.5" thickBot="1">
      <c r="A631" s="1001"/>
      <c r="B631" s="327" t="s">
        <v>343</v>
      </c>
      <c r="C631" s="328">
        <v>0.9</v>
      </c>
      <c r="D631" s="329">
        <v>2.1</v>
      </c>
      <c r="E631" s="140">
        <v>1</v>
      </c>
      <c r="F631" s="322">
        <f t="shared" si="16"/>
        <v>3.78</v>
      </c>
    </row>
    <row r="632" spans="1:6" ht="27" customHeight="1" thickBot="1">
      <c r="A632" s="72" t="s">
        <v>186</v>
      </c>
      <c r="B632" s="784" t="s">
        <v>187</v>
      </c>
      <c r="C632" s="784"/>
      <c r="D632" s="784"/>
      <c r="E632" s="73" t="s">
        <v>87</v>
      </c>
      <c r="F632" s="74">
        <f>ROUNDDOWN(E634+E635+E636+E637+E638+E639+E640+E641+E642+E643+E644+E645+E646,2)</f>
        <v>368.6</v>
      </c>
    </row>
    <row r="633" spans="1:6">
      <c r="A633" s="283"/>
      <c r="B633" s="75" t="s">
        <v>83</v>
      </c>
      <c r="C633" s="75" t="s">
        <v>84</v>
      </c>
      <c r="D633" s="106" t="s">
        <v>85</v>
      </c>
      <c r="E633" s="75" t="s">
        <v>13</v>
      </c>
      <c r="F633" s="280"/>
    </row>
    <row r="634" spans="1:6" ht="25.5">
      <c r="A634" s="321"/>
      <c r="B634" s="406" t="s">
        <v>371</v>
      </c>
      <c r="C634" s="896" t="s">
        <v>104</v>
      </c>
      <c r="D634" s="896"/>
      <c r="E634" s="316">
        <v>123.75</v>
      </c>
      <c r="F634" s="148"/>
    </row>
    <row r="635" spans="1:6">
      <c r="A635" s="400"/>
      <c r="B635" s="407" t="s">
        <v>347</v>
      </c>
      <c r="C635" s="111">
        <v>5.85</v>
      </c>
      <c r="D635" s="111">
        <v>4.87</v>
      </c>
      <c r="E635" s="111">
        <f>ROUNDDOWN(D635*C635,2)</f>
        <v>28.48</v>
      </c>
      <c r="F635" s="149"/>
    </row>
    <row r="636" spans="1:6">
      <c r="A636" s="400"/>
      <c r="B636" s="407" t="s">
        <v>348</v>
      </c>
      <c r="C636" s="111">
        <v>5.85</v>
      </c>
      <c r="D636" s="111">
        <v>4.82</v>
      </c>
      <c r="E636" s="111">
        <f t="shared" ref="E636:E639" si="17">ROUNDDOWN(D636*C636,2)</f>
        <v>28.19</v>
      </c>
      <c r="F636" s="149"/>
    </row>
    <row r="637" spans="1:6">
      <c r="A637" s="400"/>
      <c r="B637" s="407" t="s">
        <v>116</v>
      </c>
      <c r="C637" s="111">
        <v>5.77</v>
      </c>
      <c r="D637" s="111">
        <v>4.87</v>
      </c>
      <c r="E637" s="111">
        <f t="shared" si="17"/>
        <v>28.09</v>
      </c>
      <c r="F637" s="149"/>
    </row>
    <row r="638" spans="1:6">
      <c r="A638" s="400"/>
      <c r="B638" s="407" t="s">
        <v>153</v>
      </c>
      <c r="C638" s="111">
        <v>5.77</v>
      </c>
      <c r="D638" s="111">
        <v>4.82</v>
      </c>
      <c r="E638" s="111">
        <f t="shared" si="17"/>
        <v>27.81</v>
      </c>
      <c r="F638" s="149"/>
    </row>
    <row r="639" spans="1:6" ht="25.5">
      <c r="A639" s="321"/>
      <c r="B639" s="406" t="s">
        <v>372</v>
      </c>
      <c r="C639" s="399">
        <v>2.7</v>
      </c>
      <c r="D639" s="399">
        <v>7</v>
      </c>
      <c r="E639" s="111">
        <f t="shared" si="17"/>
        <v>18.899999999999999</v>
      </c>
      <c r="F639" s="148"/>
    </row>
    <row r="640" spans="1:6">
      <c r="A640" s="321"/>
      <c r="B640" s="103" t="s">
        <v>370</v>
      </c>
      <c r="C640" s="896" t="s">
        <v>104</v>
      </c>
      <c r="D640" s="896"/>
      <c r="E640" s="399">
        <v>49.94</v>
      </c>
      <c r="F640" s="148"/>
    </row>
    <row r="641" spans="1:6">
      <c r="A641" s="321"/>
      <c r="B641" s="628" t="s">
        <v>373</v>
      </c>
      <c r="C641" s="896" t="s">
        <v>104</v>
      </c>
      <c r="D641" s="896"/>
      <c r="E641" s="78">
        <v>24.62</v>
      </c>
      <c r="F641" s="148"/>
    </row>
    <row r="642" spans="1:6" ht="25.5">
      <c r="A642" s="400"/>
      <c r="B642" s="204" t="s">
        <v>313</v>
      </c>
      <c r="C642" s="150">
        <v>4.21</v>
      </c>
      <c r="D642" s="150">
        <v>2.97</v>
      </c>
      <c r="E642" s="111">
        <f t="shared" ref="E642" si="18">ROUNDDOWN(D642*C642,2)</f>
        <v>12.5</v>
      </c>
      <c r="F642" s="149"/>
    </row>
    <row r="643" spans="1:6">
      <c r="A643" s="433"/>
      <c r="B643" s="274" t="s">
        <v>438</v>
      </c>
      <c r="C643" s="985" t="s">
        <v>104</v>
      </c>
      <c r="D643" s="986"/>
      <c r="E643" s="150">
        <v>1.19</v>
      </c>
      <c r="F643" s="149"/>
    </row>
    <row r="644" spans="1:6">
      <c r="A644" s="321"/>
      <c r="B644" s="489" t="s">
        <v>447</v>
      </c>
      <c r="C644" s="494">
        <v>9.6</v>
      </c>
      <c r="D644" s="494">
        <v>1.2</v>
      </c>
      <c r="E644" s="111">
        <f t="shared" ref="E644" si="19">ROUNDDOWN(D644*C644,2)</f>
        <v>11.52</v>
      </c>
      <c r="F644" s="148"/>
    </row>
    <row r="645" spans="1:6">
      <c r="A645" s="321"/>
      <c r="B645" s="489" t="s">
        <v>473</v>
      </c>
      <c r="C645" s="889" t="s">
        <v>104</v>
      </c>
      <c r="D645" s="889"/>
      <c r="E645" s="488">
        <v>7.47</v>
      </c>
      <c r="F645" s="148"/>
    </row>
    <row r="646" spans="1:6" ht="26.25" thickBot="1">
      <c r="A646" s="492"/>
      <c r="B646" s="629" t="s">
        <v>474</v>
      </c>
      <c r="C646" s="494">
        <v>2.0699999999999998</v>
      </c>
      <c r="D646" s="494">
        <v>2.97</v>
      </c>
      <c r="E646" s="111">
        <f t="shared" ref="E646" si="20">ROUNDDOWN(D646*C646,2)</f>
        <v>6.14</v>
      </c>
      <c r="F646" s="149"/>
    </row>
    <row r="647" spans="1:6" ht="27" customHeight="1" thickBot="1">
      <c r="A647" s="72">
        <v>88483</v>
      </c>
      <c r="B647" s="784" t="s">
        <v>188</v>
      </c>
      <c r="C647" s="784"/>
      <c r="D647" s="784"/>
      <c r="E647" s="73" t="s">
        <v>87</v>
      </c>
      <c r="F647" s="74">
        <f>ROUNDDOWN(F649+F650+F651+F652+F653+F654+F655+F656+F657+F658+F659+F660,2)</f>
        <v>135.74</v>
      </c>
    </row>
    <row r="648" spans="1:6">
      <c r="A648" s="80"/>
      <c r="B648" s="116" t="s">
        <v>83</v>
      </c>
      <c r="C648" s="117" t="s">
        <v>84</v>
      </c>
      <c r="D648" s="117" t="s">
        <v>90</v>
      </c>
      <c r="E648" s="117" t="s">
        <v>102</v>
      </c>
      <c r="F648" s="95" t="s">
        <v>13</v>
      </c>
    </row>
    <row r="649" spans="1:6">
      <c r="A649" s="866" t="s">
        <v>322</v>
      </c>
      <c r="B649" s="108" t="s">
        <v>330</v>
      </c>
      <c r="C649" s="78">
        <v>7</v>
      </c>
      <c r="D649" s="78">
        <v>2.98</v>
      </c>
      <c r="E649" s="115">
        <f>ROUNDDOWN(1.1*2*2-2,2)</f>
        <v>2.4</v>
      </c>
      <c r="F649" s="114">
        <f>ROUNDDOWN(((C649*D649)-E649),2)</f>
        <v>18.46</v>
      </c>
    </row>
    <row r="650" spans="1:6" ht="25.5">
      <c r="A650" s="867"/>
      <c r="B650" s="629" t="s">
        <v>331</v>
      </c>
      <c r="C650" s="869">
        <v>19.61</v>
      </c>
      <c r="D650" s="869"/>
      <c r="E650" s="115">
        <f>ROUNDDOWN(1.1*1.6*2-2,2)</f>
        <v>1.52</v>
      </c>
      <c r="F650" s="114">
        <f>(C650-E650)</f>
        <v>18.09</v>
      </c>
    </row>
    <row r="651" spans="1:6" ht="25.5">
      <c r="A651" s="867"/>
      <c r="B651" s="629" t="s">
        <v>152</v>
      </c>
      <c r="C651" s="869">
        <v>19.61</v>
      </c>
      <c r="D651" s="869"/>
      <c r="E651" s="115"/>
      <c r="F651" s="408">
        <f>(C651-E651)</f>
        <v>19.61</v>
      </c>
    </row>
    <row r="652" spans="1:6">
      <c r="A652" s="868"/>
      <c r="B652" s="108" t="s">
        <v>399</v>
      </c>
      <c r="C652" s="118">
        <v>7</v>
      </c>
      <c r="D652" s="118">
        <v>2.98</v>
      </c>
      <c r="E652" s="115"/>
      <c r="F652" s="408">
        <f>ROUNDDOWN(D652*C652,2)</f>
        <v>20.86</v>
      </c>
    </row>
    <row r="653" spans="1:6">
      <c r="A653" s="880" t="s">
        <v>326</v>
      </c>
      <c r="B653" s="333" t="s">
        <v>332</v>
      </c>
      <c r="C653" s="408">
        <v>1.6</v>
      </c>
      <c r="D653" s="408">
        <f>2.98-1.6</f>
        <v>1.38</v>
      </c>
      <c r="E653" s="115">
        <f>ROUNDDOWN((0.8*2.1)+(0.6*0.7)-2,2)</f>
        <v>0.1</v>
      </c>
      <c r="F653" s="114">
        <f>ROUNDDOWN(((C653*D653)-E653),2)</f>
        <v>2.1</v>
      </c>
    </row>
    <row r="654" spans="1:6">
      <c r="A654" s="873"/>
      <c r="B654" s="108" t="s">
        <v>399</v>
      </c>
      <c r="C654" s="408">
        <v>1.6</v>
      </c>
      <c r="D654" s="408">
        <f>2.98-1.6</f>
        <v>1.38</v>
      </c>
      <c r="E654" s="115"/>
      <c r="F654" s="632">
        <f>ROUNDDOWN(D654*C654,2)</f>
        <v>2.2000000000000002</v>
      </c>
    </row>
    <row r="655" spans="1:6">
      <c r="A655" s="873"/>
      <c r="B655" s="108" t="s">
        <v>103</v>
      </c>
      <c r="C655" s="408">
        <v>2</v>
      </c>
      <c r="D655" s="408">
        <f>2.98-1.6</f>
        <v>1.38</v>
      </c>
      <c r="E655" s="115"/>
      <c r="F655" s="632">
        <f>ROUNDDOWN(D655*C655,2)</f>
        <v>2.76</v>
      </c>
    </row>
    <row r="656" spans="1:6">
      <c r="A656" s="881"/>
      <c r="B656" s="108" t="s">
        <v>388</v>
      </c>
      <c r="C656" s="408">
        <v>2</v>
      </c>
      <c r="D656" s="408">
        <f>2.98-1.6</f>
        <v>1.38</v>
      </c>
      <c r="E656" s="115"/>
      <c r="F656" s="632">
        <f>ROUNDDOWN(D656*C656,2)</f>
        <v>2.76</v>
      </c>
    </row>
    <row r="657" spans="1:6">
      <c r="A657" s="870" t="s">
        <v>400</v>
      </c>
      <c r="B657" s="412" t="s">
        <v>330</v>
      </c>
      <c r="C657" s="366">
        <v>4.3899999999999997</v>
      </c>
      <c r="D657" s="366">
        <v>2.96</v>
      </c>
      <c r="E657" s="115">
        <f>ROUNDDOWN((1.1*2)-2,2)</f>
        <v>0.2</v>
      </c>
      <c r="F657" s="114">
        <f>ROUNDDOWN(((C657*D657)-E657),2)</f>
        <v>12.79</v>
      </c>
    </row>
    <row r="658" spans="1:6">
      <c r="A658" s="871"/>
      <c r="B658" s="412" t="s">
        <v>401</v>
      </c>
      <c r="C658" s="366">
        <v>3.94</v>
      </c>
      <c r="D658" s="366">
        <v>2.96</v>
      </c>
      <c r="E658" s="115"/>
      <c r="F658" s="632">
        <f>ROUNDDOWN(D658*C658,2)</f>
        <v>11.66</v>
      </c>
    </row>
    <row r="659" spans="1:6">
      <c r="A659" s="870" t="s">
        <v>384</v>
      </c>
      <c r="B659" s="412" t="s">
        <v>330</v>
      </c>
      <c r="C659" s="366">
        <v>4.3899999999999997</v>
      </c>
      <c r="D659" s="366">
        <v>2.96</v>
      </c>
      <c r="E659" s="115">
        <f>ROUNDDOWN((1.1*2)-2,2)</f>
        <v>0.2</v>
      </c>
      <c r="F659" s="114">
        <f>ROUNDDOWN(((C659*D659)-E659),2)</f>
        <v>12.79</v>
      </c>
    </row>
    <row r="660" spans="1:6" ht="13.5" thickBot="1">
      <c r="A660" s="799"/>
      <c r="B660" s="407" t="s">
        <v>401</v>
      </c>
      <c r="C660" s="158">
        <v>3.94</v>
      </c>
      <c r="D660" s="449">
        <v>2.96</v>
      </c>
      <c r="E660" s="121"/>
      <c r="F660" s="632">
        <f>ROUNDDOWN(D660*C660,2)</f>
        <v>11.66</v>
      </c>
    </row>
    <row r="661" spans="1:6" ht="27" customHeight="1" thickBot="1">
      <c r="A661" s="72">
        <v>88485</v>
      </c>
      <c r="B661" s="814" t="s">
        <v>189</v>
      </c>
      <c r="C661" s="815"/>
      <c r="D661" s="816"/>
      <c r="E661" s="73" t="s">
        <v>87</v>
      </c>
      <c r="F661" s="74">
        <f>ROUNDDOWN(F663+F664+F665+F666+F667+F668+F669+F670+F671+F672+F673+F674+F675+F676+F677+F678+F679+F680+F681+F682+F684+F683+F685+F686+F687+F688+F689+F690+F691+F692+F693+F694+F695+F696+F697+F698+F699+F700+F701+F702+F703+F704,2)</f>
        <v>979.23</v>
      </c>
    </row>
    <row r="662" spans="1:6">
      <c r="A662" s="80"/>
      <c r="B662" s="116" t="s">
        <v>83</v>
      </c>
      <c r="C662" s="116" t="s">
        <v>84</v>
      </c>
      <c r="D662" s="116" t="s">
        <v>90</v>
      </c>
      <c r="E662" s="117" t="s">
        <v>102</v>
      </c>
      <c r="F662" s="95" t="s">
        <v>13</v>
      </c>
    </row>
    <row r="663" spans="1:6">
      <c r="A663" s="866" t="s">
        <v>322</v>
      </c>
      <c r="B663" s="108" t="s">
        <v>330</v>
      </c>
      <c r="C663" s="78">
        <v>7.26</v>
      </c>
      <c r="D663" s="78">
        <v>3.08</v>
      </c>
      <c r="E663" s="115">
        <f>ROUNDDOWN(1.1*2*2-2,2)</f>
        <v>2.4</v>
      </c>
      <c r="F663" s="114">
        <f>ROUNDDOWN(((C663*D663)-E663),2)</f>
        <v>19.96</v>
      </c>
    </row>
    <row r="664" spans="1:6" ht="25.5">
      <c r="A664" s="867"/>
      <c r="B664" s="629" t="s">
        <v>404</v>
      </c>
      <c r="C664" s="869">
        <v>20.6</v>
      </c>
      <c r="D664" s="869"/>
      <c r="E664" s="115">
        <f>ROUNDDOWN(1.1*1.6*2-2,2)</f>
        <v>1.52</v>
      </c>
      <c r="F664" s="114">
        <f>(C664-E664)</f>
        <v>19.080000000000002</v>
      </c>
    </row>
    <row r="665" spans="1:6" ht="25.5">
      <c r="A665" s="867"/>
      <c r="B665" s="333" t="s">
        <v>406</v>
      </c>
      <c r="C665" s="869" t="s">
        <v>405</v>
      </c>
      <c r="D665" s="869"/>
      <c r="E665" s="115"/>
      <c r="F665" s="408">
        <v>12.57</v>
      </c>
    </row>
    <row r="666" spans="1:6">
      <c r="A666" s="409" t="s">
        <v>326</v>
      </c>
      <c r="B666" s="333" t="s">
        <v>332</v>
      </c>
      <c r="C666" s="408">
        <v>1.6</v>
      </c>
      <c r="D666" s="408">
        <v>3.27</v>
      </c>
      <c r="E666" s="115">
        <f>ROUNDDOWN((0.8*2.1)+(0.6*0.7)-2,2)</f>
        <v>0.1</v>
      </c>
      <c r="F666" s="114">
        <f>ROUNDDOWN(((C666*D666)-E666),2)</f>
        <v>5.13</v>
      </c>
    </row>
    <row r="667" spans="1:6">
      <c r="A667" s="880" t="s">
        <v>333</v>
      </c>
      <c r="B667" s="108" t="s">
        <v>103</v>
      </c>
      <c r="C667" s="78">
        <v>1.66</v>
      </c>
      <c r="D667" s="78">
        <v>3.08</v>
      </c>
      <c r="E667" s="114"/>
      <c r="F667" s="114">
        <f>ROUNDDOWN(D667*C667,2)</f>
        <v>5.1100000000000003</v>
      </c>
    </row>
    <row r="668" spans="1:6">
      <c r="A668" s="873"/>
      <c r="B668" s="108" t="s">
        <v>332</v>
      </c>
      <c r="C668" s="78">
        <v>3.59</v>
      </c>
      <c r="D668" s="78">
        <v>3.08</v>
      </c>
      <c r="E668" s="114"/>
      <c r="F668" s="114">
        <f>ROUNDDOWN(D668*C668,2)</f>
        <v>11.05</v>
      </c>
    </row>
    <row r="669" spans="1:6">
      <c r="A669" s="881"/>
      <c r="B669" s="108" t="s">
        <v>388</v>
      </c>
      <c r="C669" s="890" t="s">
        <v>104</v>
      </c>
      <c r="D669" s="891"/>
      <c r="E669" s="115"/>
      <c r="F669" s="114">
        <f>(3.79*3.08)-(2.6*1)</f>
        <v>9.0731999999999999</v>
      </c>
    </row>
    <row r="670" spans="1:6">
      <c r="A670" s="436" t="s">
        <v>329</v>
      </c>
      <c r="B670" s="108" t="s">
        <v>408</v>
      </c>
      <c r="C670" s="118">
        <v>1.6</v>
      </c>
      <c r="D670" s="78">
        <v>3.08</v>
      </c>
      <c r="E670" s="115"/>
      <c r="F670" s="114">
        <f>ROUNDDOWN(D670*C670,2)</f>
        <v>4.92</v>
      </c>
    </row>
    <row r="671" spans="1:6">
      <c r="A671" s="436"/>
      <c r="B671" s="436" t="s">
        <v>407</v>
      </c>
      <c r="C671" s="118">
        <v>14.05</v>
      </c>
      <c r="D671" s="78">
        <f>2.11+1.1</f>
        <v>3.21</v>
      </c>
      <c r="E671" s="115"/>
      <c r="F671" s="114">
        <f>ROUNDDOWN(D671*C671,2)</f>
        <v>45.1</v>
      </c>
    </row>
    <row r="672" spans="1:6" ht="13.5" thickBot="1">
      <c r="A672" s="450"/>
      <c r="B672" s="451" t="s">
        <v>409</v>
      </c>
      <c r="C672" s="374">
        <f>6.26+14.05</f>
        <v>20.310000000000002</v>
      </c>
      <c r="D672" s="100">
        <v>0.54</v>
      </c>
      <c r="E672" s="338"/>
      <c r="F672" s="114">
        <f>ROUNDDOWN(D672*C672,2)</f>
        <v>10.96</v>
      </c>
    </row>
    <row r="673" spans="1:6">
      <c r="A673" s="803" t="s">
        <v>410</v>
      </c>
      <c r="B673" s="888" t="s">
        <v>411</v>
      </c>
      <c r="C673" s="342">
        <v>13.36</v>
      </c>
      <c r="D673" s="90">
        <v>4.33</v>
      </c>
      <c r="E673" s="116">
        <f>ROUNDDOWN((1.1*2)+(1.1*2)+(1.1*2)-2,2)</f>
        <v>4.5999999999999996</v>
      </c>
      <c r="F673" s="114">
        <f>ROUNDDOWN(((C673*D673)-E673),2)</f>
        <v>53.24</v>
      </c>
    </row>
    <row r="674" spans="1:6">
      <c r="A674" s="804"/>
      <c r="B674" s="879"/>
      <c r="C674" s="118">
        <v>2.74</v>
      </c>
      <c r="D674" s="78">
        <f>4.33-0.54</f>
        <v>3.79</v>
      </c>
      <c r="E674" s="115"/>
      <c r="F674" s="114">
        <f>ROUNDDOWN(D674*C674,2)</f>
        <v>10.38</v>
      </c>
    </row>
    <row r="675" spans="1:6">
      <c r="A675" s="804"/>
      <c r="B675" s="879"/>
      <c r="C675" s="118">
        <v>1.97</v>
      </c>
      <c r="D675" s="78">
        <v>1.57</v>
      </c>
      <c r="E675" s="115"/>
      <c r="F675" s="114">
        <f>ROUNDDOWN(D675*C675,2)</f>
        <v>3.09</v>
      </c>
    </row>
    <row r="676" spans="1:6">
      <c r="A676" s="804"/>
      <c r="B676" s="108" t="s">
        <v>103</v>
      </c>
      <c r="C676" s="118">
        <f>6.28+0.7+0.7</f>
        <v>7.6800000000000006</v>
      </c>
      <c r="D676" s="78">
        <v>2.98</v>
      </c>
      <c r="E676" s="115"/>
      <c r="F676" s="114">
        <f>ROUNDDOWN(D676*C676,2)</f>
        <v>22.88</v>
      </c>
    </row>
    <row r="677" spans="1:6">
      <c r="A677" s="804"/>
      <c r="B677" s="879" t="s">
        <v>332</v>
      </c>
      <c r="C677" s="78">
        <v>11.99</v>
      </c>
      <c r="D677" s="78">
        <v>3.23</v>
      </c>
      <c r="E677" s="116">
        <f>ROUNDDOWN((1.1*2)+(1.1*2)+(1.1*2)-2,2)</f>
        <v>4.5999999999999996</v>
      </c>
      <c r="F677" s="114">
        <f>ROUNDDOWN(((C677*D677)-E677),2)</f>
        <v>34.119999999999997</v>
      </c>
    </row>
    <row r="678" spans="1:6">
      <c r="A678" s="804"/>
      <c r="B678" s="879"/>
      <c r="C678" s="408">
        <v>2.97</v>
      </c>
      <c r="D678" s="408">
        <f>3.23-2.23</f>
        <v>1</v>
      </c>
      <c r="E678" s="115"/>
      <c r="F678" s="114">
        <f>ROUNDDOWN(D678*C678,2)</f>
        <v>2.97</v>
      </c>
    </row>
    <row r="679" spans="1:6">
      <c r="A679" s="804"/>
      <c r="B679" s="879"/>
      <c r="C679" s="78">
        <f>(2.08*2)+1.6</f>
        <v>5.76</v>
      </c>
      <c r="D679" s="78">
        <v>2.95</v>
      </c>
      <c r="E679" s="120"/>
      <c r="F679" s="114">
        <f>ROUNDDOWN(D679*C679,2)</f>
        <v>16.989999999999998</v>
      </c>
    </row>
    <row r="680" spans="1:6">
      <c r="A680" s="804"/>
      <c r="B680" s="879"/>
      <c r="C680" s="78">
        <v>4.1100000000000003</v>
      </c>
      <c r="D680" s="78">
        <f>3.23+0.54</f>
        <v>3.77</v>
      </c>
      <c r="E680" s="120"/>
      <c r="F680" s="114">
        <f>ROUNDDOWN(D680*C680,2)</f>
        <v>15.49</v>
      </c>
    </row>
    <row r="681" spans="1:6" ht="12.75" customHeight="1">
      <c r="A681" s="804"/>
      <c r="B681" s="108" t="s">
        <v>415</v>
      </c>
      <c r="C681" s="875" t="s">
        <v>104</v>
      </c>
      <c r="D681" s="876"/>
      <c r="E681" s="120"/>
      <c r="F681" s="114">
        <f>24.7+2.7</f>
        <v>27.4</v>
      </c>
    </row>
    <row r="682" spans="1:6" ht="12.75" customHeight="1">
      <c r="A682" s="892" t="s">
        <v>412</v>
      </c>
      <c r="B682" s="333" t="s">
        <v>399</v>
      </c>
      <c r="C682" s="366">
        <f>3.95+1.15+0.13+0.73</f>
        <v>5.9599999999999991</v>
      </c>
      <c r="D682" s="366">
        <v>2.98</v>
      </c>
      <c r="E682" s="120"/>
      <c r="F682" s="114">
        <f>ROUNDDOWN(D682*C682,2)</f>
        <v>17.760000000000002</v>
      </c>
    </row>
    <row r="683" spans="1:6">
      <c r="A683" s="893"/>
      <c r="B683" s="333" t="s">
        <v>335</v>
      </c>
      <c r="C683" s="366">
        <f>0.73+0.73+0.13</f>
        <v>1.5899999999999999</v>
      </c>
      <c r="D683" s="78">
        <v>2.98</v>
      </c>
      <c r="E683" s="120"/>
      <c r="F683" s="114">
        <f>ROUNDDOWN(D683*C683,2)</f>
        <v>4.7300000000000004</v>
      </c>
    </row>
    <row r="684" spans="1:6" ht="13.5" customHeight="1" thickBot="1">
      <c r="A684" s="894"/>
      <c r="B684" s="210" t="s">
        <v>413</v>
      </c>
      <c r="C684" s="477">
        <v>3.95</v>
      </c>
      <c r="D684" s="477">
        <v>0.63</v>
      </c>
      <c r="E684" s="211"/>
      <c r="F684" s="472">
        <f>((D684*C684)*6)+((0.15*C684)*3)+(C684*0.73)+(0.1*C684)</f>
        <v>19.987000000000002</v>
      </c>
    </row>
    <row r="685" spans="1:6">
      <c r="A685" s="872" t="s">
        <v>414</v>
      </c>
      <c r="B685" s="447" t="s">
        <v>411</v>
      </c>
      <c r="C685" s="452">
        <v>10.08</v>
      </c>
      <c r="D685" s="452">
        <v>3.15</v>
      </c>
      <c r="E685" s="116">
        <f>ROUNDDOWN((1.1*2)+(1.1*2)+(1.1*2)+(1.1*2)-2,2)</f>
        <v>6.8</v>
      </c>
      <c r="F685" s="114">
        <f>ROUNDDOWN(((C685*D685)-E685),2)</f>
        <v>24.95</v>
      </c>
    </row>
    <row r="686" spans="1:6">
      <c r="A686" s="873"/>
      <c r="B686" s="108" t="s">
        <v>103</v>
      </c>
      <c r="C686" s="366">
        <v>12.01</v>
      </c>
      <c r="D686" s="452">
        <v>3.15</v>
      </c>
      <c r="E686" s="116">
        <f>ROUNDDOWN((1.1*1.6)+(1.1*1.6)-2,2)</f>
        <v>1.52</v>
      </c>
      <c r="F686" s="114">
        <f>ROUNDDOWN(((C686*D686)-E686),2)</f>
        <v>36.31</v>
      </c>
    </row>
    <row r="687" spans="1:6">
      <c r="A687" s="873"/>
      <c r="B687" s="333" t="s">
        <v>416</v>
      </c>
      <c r="C687" s="366">
        <v>10.08</v>
      </c>
      <c r="D687" s="452">
        <v>3.15</v>
      </c>
      <c r="E687" s="116">
        <f>ROUNDDOWN((1.1*2)+(1.1*2)+(1.1*2)+(1.1*2)-2,2)</f>
        <v>6.8</v>
      </c>
      <c r="F687" s="114">
        <f>ROUNDDOWN(((C687*D687)-E687),2)</f>
        <v>24.95</v>
      </c>
    </row>
    <row r="688" spans="1:6">
      <c r="A688" s="873"/>
      <c r="B688" s="333" t="s">
        <v>417</v>
      </c>
      <c r="C688" s="366">
        <v>12.01</v>
      </c>
      <c r="D688" s="452">
        <v>3.15</v>
      </c>
      <c r="E688" s="116">
        <f>ROUNDDOWN((1.1*1.6)+(1.1*1.6)-2,2)</f>
        <v>1.52</v>
      </c>
      <c r="F688" s="114">
        <f>ROUNDDOWN(((C688*D688)-E688),2)</f>
        <v>36.31</v>
      </c>
    </row>
    <row r="689" spans="1:6" ht="25.5">
      <c r="A689" s="873"/>
      <c r="B689" s="445" t="s">
        <v>434</v>
      </c>
      <c r="C689" s="366">
        <f>16.35+0.32+0.23</f>
        <v>16.900000000000002</v>
      </c>
      <c r="D689" s="366">
        <v>2.2000000000000002</v>
      </c>
      <c r="E689" s="120"/>
      <c r="F689" s="114">
        <f>ROUNDDOWN(D689*C689,2)</f>
        <v>37.18</v>
      </c>
    </row>
    <row r="690" spans="1:6" ht="25.5">
      <c r="A690" s="873"/>
      <c r="B690" s="333" t="s">
        <v>419</v>
      </c>
      <c r="C690" s="366">
        <v>14.04</v>
      </c>
      <c r="D690" s="366">
        <v>0.22</v>
      </c>
      <c r="E690" s="120"/>
      <c r="F690" s="408">
        <f>(((C690*D690)*2)+0.13*C690)*2</f>
        <v>16.005600000000001</v>
      </c>
    </row>
    <row r="691" spans="1:6" ht="25.5">
      <c r="A691" s="873"/>
      <c r="B691" s="333" t="s">
        <v>418</v>
      </c>
      <c r="C691" s="366">
        <v>1.4</v>
      </c>
      <c r="D691" s="366">
        <f>2.2+0.23</f>
        <v>2.4300000000000002</v>
      </c>
      <c r="E691" s="120"/>
      <c r="F691" s="114">
        <f>ROUNDDOWN(D691*C691,2)</f>
        <v>3.4</v>
      </c>
    </row>
    <row r="692" spans="1:6">
      <c r="A692" s="873"/>
      <c r="B692" s="333" t="s">
        <v>149</v>
      </c>
      <c r="C692" s="366">
        <f>(0.2*4)*4</f>
        <v>3.2</v>
      </c>
      <c r="D692" s="366">
        <v>2.23</v>
      </c>
      <c r="E692" s="120"/>
      <c r="F692" s="114">
        <f>ROUNDDOWN(D692*C692,2)</f>
        <v>7.13</v>
      </c>
    </row>
    <row r="693" spans="1:6" ht="25.5">
      <c r="A693" s="873"/>
      <c r="B693" s="333" t="s">
        <v>420</v>
      </c>
      <c r="C693" s="366">
        <f>16.49+1.2</f>
        <v>17.689999999999998</v>
      </c>
      <c r="D693" s="366">
        <v>1</v>
      </c>
      <c r="E693" s="120"/>
      <c r="F693" s="114">
        <f>ROUNDDOWN(D693*C693,2)</f>
        <v>17.690000000000001</v>
      </c>
    </row>
    <row r="694" spans="1:6" ht="25.5">
      <c r="A694" s="873"/>
      <c r="B694" s="333" t="s">
        <v>421</v>
      </c>
      <c r="C694" s="875" t="s">
        <v>104</v>
      </c>
      <c r="D694" s="876"/>
      <c r="E694" s="120"/>
      <c r="F694" s="408">
        <v>29.8</v>
      </c>
    </row>
    <row r="695" spans="1:6">
      <c r="A695" s="873"/>
      <c r="B695" s="333" t="s">
        <v>422</v>
      </c>
      <c r="C695" s="366">
        <v>15.66</v>
      </c>
      <c r="D695" s="366">
        <v>0.22</v>
      </c>
      <c r="E695" s="120"/>
      <c r="F695" s="408">
        <f>((C695*D695)*2)+0.13*C695</f>
        <v>8.9262000000000015</v>
      </c>
    </row>
    <row r="696" spans="1:6" ht="26.25" thickBot="1">
      <c r="A696" s="874"/>
      <c r="B696" s="210" t="s">
        <v>423</v>
      </c>
      <c r="C696" s="882" t="s">
        <v>104</v>
      </c>
      <c r="D696" s="883"/>
      <c r="E696" s="211"/>
      <c r="F696" s="216">
        <f>2.93+2.45</f>
        <v>5.3800000000000008</v>
      </c>
    </row>
    <row r="697" spans="1:6" ht="13.5" thickBot="1">
      <c r="A697" s="453"/>
      <c r="B697" s="454" t="s">
        <v>424</v>
      </c>
      <c r="C697" s="455">
        <v>7.36</v>
      </c>
      <c r="D697" s="455">
        <v>3.2</v>
      </c>
      <c r="E697" s="378"/>
      <c r="F697" s="114">
        <f>ROUNDDOWN(D697*C697,2)</f>
        <v>23.55</v>
      </c>
    </row>
    <row r="698" spans="1:6">
      <c r="A698" s="872" t="s">
        <v>425</v>
      </c>
      <c r="B698" s="464" t="s">
        <v>416</v>
      </c>
      <c r="C698" s="877" t="s">
        <v>104</v>
      </c>
      <c r="D698" s="878"/>
      <c r="E698" s="350"/>
      <c r="F698" s="383">
        <f>41.87+20.97+20.97+1.21</f>
        <v>85.02</v>
      </c>
    </row>
    <row r="699" spans="1:6">
      <c r="A699" s="873"/>
      <c r="B699" s="445" t="s">
        <v>426</v>
      </c>
      <c r="C699" s="875" t="s">
        <v>104</v>
      </c>
      <c r="D699" s="876"/>
      <c r="E699" s="120"/>
      <c r="F699" s="434">
        <f>36.72+1.8+30.49+61.82+3.34</f>
        <v>134.16999999999999</v>
      </c>
    </row>
    <row r="700" spans="1:6" ht="25.5">
      <c r="A700" s="873"/>
      <c r="B700" s="445" t="s">
        <v>428</v>
      </c>
      <c r="C700" s="875" t="s">
        <v>104</v>
      </c>
      <c r="D700" s="876"/>
      <c r="E700" s="120"/>
      <c r="F700" s="434">
        <f>30.18+1.45</f>
        <v>31.63</v>
      </c>
    </row>
    <row r="701" spans="1:6" ht="13.5" thickBot="1">
      <c r="A701" s="874"/>
      <c r="B701" s="210" t="s">
        <v>427</v>
      </c>
      <c r="C701" s="882" t="s">
        <v>104</v>
      </c>
      <c r="D701" s="883"/>
      <c r="E701" s="211"/>
      <c r="F701" s="216">
        <f>23.04+24.96+2.49</f>
        <v>50.49</v>
      </c>
    </row>
    <row r="702" spans="1:6">
      <c r="A702" s="873" t="s">
        <v>448</v>
      </c>
      <c r="B702" s="447" t="s">
        <v>449</v>
      </c>
      <c r="C702" s="877" t="s">
        <v>104</v>
      </c>
      <c r="D702" s="878"/>
      <c r="E702" s="337"/>
      <c r="F702" s="102">
        <v>3.73</v>
      </c>
    </row>
    <row r="703" spans="1:6">
      <c r="A703" s="873"/>
      <c r="B703" s="204" t="s">
        <v>450</v>
      </c>
      <c r="C703" s="991" t="s">
        <v>104</v>
      </c>
      <c r="D703" s="992"/>
      <c r="E703" s="121"/>
      <c r="F703" s="111">
        <f>21.18+1.24</f>
        <v>22.419999999999998</v>
      </c>
    </row>
    <row r="704" spans="1:6" ht="13.5" thickBot="1">
      <c r="A704" s="456"/>
      <c r="B704" s="469" t="s">
        <v>451</v>
      </c>
      <c r="C704" s="158">
        <v>6.31</v>
      </c>
      <c r="D704" s="158">
        <f>0.8+0.5</f>
        <v>1.3</v>
      </c>
      <c r="E704" s="121"/>
      <c r="F704" s="114">
        <f>ROUNDDOWN(D704*C704,2)</f>
        <v>8.1999999999999993</v>
      </c>
    </row>
    <row r="705" spans="1:6" ht="27" customHeight="1" thickBot="1">
      <c r="A705" s="72">
        <v>88487</v>
      </c>
      <c r="B705" s="784" t="s">
        <v>190</v>
      </c>
      <c r="C705" s="784"/>
      <c r="D705" s="784"/>
      <c r="E705" s="73" t="s">
        <v>87</v>
      </c>
      <c r="F705" s="74">
        <f>ROUNDDOWN(F707+F708+F709+F710+F711+F712+F713+F714+F715+F716+F717+F718+F719+F720+F721+F722+F723+F724+F725+F726+F727+F728+F729,2)</f>
        <v>550.29</v>
      </c>
    </row>
    <row r="706" spans="1:6">
      <c r="A706" s="80"/>
      <c r="B706" s="116" t="s">
        <v>83</v>
      </c>
      <c r="C706" s="116" t="s">
        <v>291</v>
      </c>
      <c r="D706" s="116" t="s">
        <v>90</v>
      </c>
      <c r="E706" s="117" t="s">
        <v>102</v>
      </c>
      <c r="F706" s="95" t="s">
        <v>13</v>
      </c>
    </row>
    <row r="707" spans="1:6">
      <c r="A707" s="866" t="s">
        <v>322</v>
      </c>
      <c r="B707" s="108" t="s">
        <v>330</v>
      </c>
      <c r="C707" s="78">
        <v>7</v>
      </c>
      <c r="D707" s="78">
        <v>2.98</v>
      </c>
      <c r="E707" s="115">
        <f>ROUNDDOWN(1.1*2*2-2,2)</f>
        <v>2.4</v>
      </c>
      <c r="F707" s="114">
        <f>((C707*D707)-E707)</f>
        <v>18.46</v>
      </c>
    </row>
    <row r="708" spans="1:6" ht="25.5">
      <c r="A708" s="867"/>
      <c r="B708" s="629" t="s">
        <v>331</v>
      </c>
      <c r="C708" s="869">
        <v>19.61</v>
      </c>
      <c r="D708" s="869"/>
      <c r="E708" s="115">
        <f>ROUNDDOWN(1.1*1.6*2-2,2)</f>
        <v>1.52</v>
      </c>
      <c r="F708" s="114">
        <f>(C708-E708)</f>
        <v>18.09</v>
      </c>
    </row>
    <row r="709" spans="1:6" ht="25.5">
      <c r="A709" s="867"/>
      <c r="B709" s="629" t="s">
        <v>152</v>
      </c>
      <c r="C709" s="869">
        <v>19.61</v>
      </c>
      <c r="D709" s="869"/>
      <c r="E709" s="115"/>
      <c r="F709" s="408">
        <f>(C709-E709)</f>
        <v>19.61</v>
      </c>
    </row>
    <row r="710" spans="1:6">
      <c r="A710" s="868"/>
      <c r="B710" s="108" t="s">
        <v>399</v>
      </c>
      <c r="C710" s="118">
        <v>7</v>
      </c>
      <c r="D710" s="118">
        <v>2.98</v>
      </c>
      <c r="E710" s="115"/>
      <c r="F710" s="408">
        <f>D710*C710</f>
        <v>20.86</v>
      </c>
    </row>
    <row r="711" spans="1:6">
      <c r="A711" s="880" t="s">
        <v>326</v>
      </c>
      <c r="B711" s="333" t="s">
        <v>332</v>
      </c>
      <c r="C711" s="408">
        <v>1.6</v>
      </c>
      <c r="D711" s="408">
        <f>2.98-1.6</f>
        <v>1.38</v>
      </c>
      <c r="E711" s="115">
        <f>ROUNDDOWN((0.8*2.1)+(0.6*0.7)-2,2)</f>
        <v>0.1</v>
      </c>
      <c r="F711" s="114">
        <f>((C711*D711)-E711)</f>
        <v>2.1079999999999997</v>
      </c>
    </row>
    <row r="712" spans="1:6">
      <c r="A712" s="873"/>
      <c r="B712" s="108" t="s">
        <v>399</v>
      </c>
      <c r="C712" s="408">
        <v>1.6</v>
      </c>
      <c r="D712" s="408">
        <f>2.98-1.6</f>
        <v>1.38</v>
      </c>
      <c r="E712" s="115"/>
      <c r="F712" s="114">
        <f>D712*C712</f>
        <v>2.2079999999999997</v>
      </c>
    </row>
    <row r="713" spans="1:6">
      <c r="A713" s="873"/>
      <c r="B713" s="108" t="s">
        <v>103</v>
      </c>
      <c r="C713" s="408">
        <v>2</v>
      </c>
      <c r="D713" s="408">
        <f>2.98-1.6</f>
        <v>1.38</v>
      </c>
      <c r="E713" s="115"/>
      <c r="F713" s="114">
        <f>D713*C713</f>
        <v>2.76</v>
      </c>
    </row>
    <row r="714" spans="1:6">
      <c r="A714" s="881"/>
      <c r="B714" s="108" t="s">
        <v>388</v>
      </c>
      <c r="C714" s="408">
        <v>2</v>
      </c>
      <c r="D714" s="408">
        <f>2.98-1.6</f>
        <v>1.38</v>
      </c>
      <c r="E714" s="115"/>
      <c r="F714" s="114">
        <f>D714*C714</f>
        <v>2.76</v>
      </c>
    </row>
    <row r="715" spans="1:6">
      <c r="A715" s="870" t="s">
        <v>400</v>
      </c>
      <c r="B715" s="412" t="s">
        <v>330</v>
      </c>
      <c r="C715" s="366">
        <v>4.3899999999999997</v>
      </c>
      <c r="D715" s="366">
        <v>2.96</v>
      </c>
      <c r="E715" s="115">
        <f>ROUNDDOWN((1.1*2)-2,2)</f>
        <v>0.2</v>
      </c>
      <c r="F715" s="114">
        <f>((C715*D715)-E715)</f>
        <v>12.7944</v>
      </c>
    </row>
    <row r="716" spans="1:6">
      <c r="A716" s="799"/>
      <c r="B716" s="412" t="s">
        <v>401</v>
      </c>
      <c r="C716" s="366">
        <v>3.94</v>
      </c>
      <c r="D716" s="366">
        <v>2.96</v>
      </c>
      <c r="E716" s="115"/>
      <c r="F716" s="114">
        <f>D716*C716</f>
        <v>11.6624</v>
      </c>
    </row>
    <row r="717" spans="1:6" ht="25.5">
      <c r="A717" s="799"/>
      <c r="B717" s="412" t="s">
        <v>402</v>
      </c>
      <c r="C717" s="366">
        <v>4.3899999999999997</v>
      </c>
      <c r="D717" s="366">
        <v>2.96</v>
      </c>
      <c r="E717" s="115">
        <f>ROUNDDOWN((1.1*2)-2,2)</f>
        <v>0.2</v>
      </c>
      <c r="F717" s="114">
        <f>((C717*D717)-E717)</f>
        <v>12.7944</v>
      </c>
    </row>
    <row r="718" spans="1:6" ht="25.5">
      <c r="A718" s="871"/>
      <c r="B718" s="412" t="s">
        <v>403</v>
      </c>
      <c r="C718" s="366">
        <v>3.94</v>
      </c>
      <c r="D718" s="366">
        <v>2.96</v>
      </c>
      <c r="E718" s="115"/>
      <c r="F718" s="114">
        <f>D718*C718</f>
        <v>11.6624</v>
      </c>
    </row>
    <row r="719" spans="1:6">
      <c r="A719" s="870" t="s">
        <v>384</v>
      </c>
      <c r="B719" s="412" t="s">
        <v>330</v>
      </c>
      <c r="C719" s="366">
        <v>4.3899999999999997</v>
      </c>
      <c r="D719" s="366">
        <v>2.96</v>
      </c>
      <c r="E719" s="115">
        <f>ROUNDDOWN((1.1*2)-2,2)</f>
        <v>0.2</v>
      </c>
      <c r="F719" s="114">
        <f>((C719*D719)-E719)</f>
        <v>12.7944</v>
      </c>
    </row>
    <row r="720" spans="1:6">
      <c r="A720" s="799"/>
      <c r="B720" s="407" t="s">
        <v>401</v>
      </c>
      <c r="C720" s="158">
        <v>3.94</v>
      </c>
      <c r="D720" s="449">
        <v>2.96</v>
      </c>
      <c r="E720" s="121"/>
      <c r="F720" s="110">
        <f>D720*C720</f>
        <v>11.6624</v>
      </c>
    </row>
    <row r="721" spans="1:6" ht="25.5">
      <c r="A721" s="799"/>
      <c r="B721" s="412" t="s">
        <v>402</v>
      </c>
      <c r="C721" s="366">
        <v>4.3899999999999997</v>
      </c>
      <c r="D721" s="366">
        <v>2.96</v>
      </c>
      <c r="E721" s="115">
        <f>ROUNDDOWN((1.1*2)-2,2)</f>
        <v>0.2</v>
      </c>
      <c r="F721" s="114">
        <f>((C721*D721)-E721)</f>
        <v>12.7944</v>
      </c>
    </row>
    <row r="722" spans="1:6" ht="25.5">
      <c r="A722" s="871"/>
      <c r="B722" s="412" t="s">
        <v>403</v>
      </c>
      <c r="C722" s="366">
        <v>3.94</v>
      </c>
      <c r="D722" s="366">
        <v>2.96</v>
      </c>
      <c r="E722" s="121"/>
      <c r="F722" s="110">
        <f>D722*C722</f>
        <v>11.6624</v>
      </c>
    </row>
    <row r="723" spans="1:6">
      <c r="A723" s="103"/>
      <c r="B723" s="437" t="s">
        <v>379</v>
      </c>
      <c r="C723" s="118">
        <v>17.7</v>
      </c>
      <c r="D723" s="366">
        <v>2.96</v>
      </c>
      <c r="E723" s="115">
        <f>ROUNDDOWN((1.1*2)-2,2)</f>
        <v>0.2</v>
      </c>
      <c r="F723" s="114">
        <f>(D723*C723)-E723</f>
        <v>52.191999999999993</v>
      </c>
    </row>
    <row r="724" spans="1:6">
      <c r="A724" s="103"/>
      <c r="B724" s="437" t="s">
        <v>362</v>
      </c>
      <c r="C724" s="78">
        <v>19.739999999999998</v>
      </c>
      <c r="D724" s="366">
        <v>2.94</v>
      </c>
      <c r="E724" s="115">
        <f>ROUNDDOWN((1.1*2)+(1.1*2)-2,2)</f>
        <v>2.4</v>
      </c>
      <c r="F724" s="114">
        <f>(D724*C724)-E724</f>
        <v>55.635599999999997</v>
      </c>
    </row>
    <row r="725" spans="1:6">
      <c r="A725" s="103"/>
      <c r="B725" s="437" t="s">
        <v>349</v>
      </c>
      <c r="C725" s="78">
        <v>8.84</v>
      </c>
      <c r="D725" s="78">
        <v>2.6</v>
      </c>
      <c r="E725" s="115"/>
      <c r="F725" s="408">
        <f>D725*C725</f>
        <v>22.984000000000002</v>
      </c>
    </row>
    <row r="726" spans="1:6">
      <c r="A726" s="103"/>
      <c r="B726" s="437" t="s">
        <v>347</v>
      </c>
      <c r="C726" s="78">
        <v>21.44</v>
      </c>
      <c r="D726" s="78">
        <v>2.95</v>
      </c>
      <c r="E726" s="630">
        <f>ROUNDDOWN((1.1*2)+(1.1*2)+(1.1*1.6)-2,2)</f>
        <v>4.16</v>
      </c>
      <c r="F726" s="408">
        <f>ROUNDDOWN((D726*C726)-E726,2)</f>
        <v>59.08</v>
      </c>
    </row>
    <row r="727" spans="1:6">
      <c r="A727" s="103"/>
      <c r="B727" s="437" t="s">
        <v>348</v>
      </c>
      <c r="C727" s="78">
        <v>21.34</v>
      </c>
      <c r="D727" s="78">
        <v>2.95</v>
      </c>
      <c r="E727" s="630">
        <f t="shared" ref="E727:E729" si="21">ROUNDDOWN((1.1*2)+(1.1*2)+(1.1*1.6)-2,2)</f>
        <v>4.16</v>
      </c>
      <c r="F727" s="632">
        <f t="shared" ref="F727:F729" si="22">ROUNDDOWN((D727*C727)-E727,2)</f>
        <v>58.79</v>
      </c>
    </row>
    <row r="728" spans="1:6">
      <c r="A728" s="103"/>
      <c r="B728" s="437" t="s">
        <v>116</v>
      </c>
      <c r="C728" s="78">
        <v>21.28</v>
      </c>
      <c r="D728" s="78">
        <v>2.95</v>
      </c>
      <c r="E728" s="630">
        <f t="shared" si="21"/>
        <v>4.16</v>
      </c>
      <c r="F728" s="632">
        <f t="shared" si="22"/>
        <v>58.61</v>
      </c>
    </row>
    <row r="729" spans="1:6" ht="13.5" thickBot="1">
      <c r="A729" s="103"/>
      <c r="B729" s="437" t="s">
        <v>153</v>
      </c>
      <c r="C729" s="78">
        <v>21.18</v>
      </c>
      <c r="D729" s="78">
        <v>2.95</v>
      </c>
      <c r="E729" s="630">
        <f t="shared" si="21"/>
        <v>4.16</v>
      </c>
      <c r="F729" s="632">
        <f t="shared" si="22"/>
        <v>58.32</v>
      </c>
    </row>
    <row r="730" spans="1:6" s="79" customFormat="1" ht="29.25" customHeight="1" thickBot="1">
      <c r="A730" s="72">
        <v>88489</v>
      </c>
      <c r="B730" s="784" t="s">
        <v>191</v>
      </c>
      <c r="C730" s="784"/>
      <c r="D730" s="784"/>
      <c r="E730" s="73" t="s">
        <v>87</v>
      </c>
      <c r="F730" s="74">
        <f>ROUNDDOWN(F732+F733+F734+F735+F736+F737+F738+F739+F740+F741+F742+F743+F744+F745+F746+F747+F748+F749+F750+F751+F752+F753+F754+F755+F756+F757+F758+F759+F760+F761+F762+F763+F764+F765+F766+F767+F768+F769+F770+F771+F772+F773,2)</f>
        <v>979.31</v>
      </c>
    </row>
    <row r="731" spans="1:6" ht="15" customHeight="1">
      <c r="A731" s="80"/>
      <c r="B731" s="116" t="s">
        <v>83</v>
      </c>
      <c r="C731" s="116" t="s">
        <v>84</v>
      </c>
      <c r="D731" s="116" t="s">
        <v>90</v>
      </c>
      <c r="E731" s="117" t="s">
        <v>102</v>
      </c>
      <c r="F731" s="95" t="s">
        <v>13</v>
      </c>
    </row>
    <row r="732" spans="1:6" ht="15" customHeight="1">
      <c r="A732" s="866" t="s">
        <v>322</v>
      </c>
      <c r="B732" s="444" t="s">
        <v>330</v>
      </c>
      <c r="C732" s="78">
        <v>7.26</v>
      </c>
      <c r="D732" s="78">
        <v>3.08</v>
      </c>
      <c r="E732" s="115">
        <f>ROUNDDOWN(1.1*2*2-2,2)</f>
        <v>2.4</v>
      </c>
      <c r="F732" s="114">
        <f>((C732*D732)-E732)</f>
        <v>19.960800000000003</v>
      </c>
    </row>
    <row r="733" spans="1:6" ht="15" customHeight="1">
      <c r="A733" s="867"/>
      <c r="B733" s="444" t="s">
        <v>404</v>
      </c>
      <c r="C733" s="869">
        <v>20.6</v>
      </c>
      <c r="D733" s="869"/>
      <c r="E733" s="115">
        <f>ROUNDDOWN(1.1*1.6*2-2,2)</f>
        <v>1.52</v>
      </c>
      <c r="F733" s="114">
        <f>(C733-E733)</f>
        <v>19.080000000000002</v>
      </c>
    </row>
    <row r="734" spans="1:6" ht="15" customHeight="1">
      <c r="A734" s="867"/>
      <c r="B734" s="445" t="s">
        <v>406</v>
      </c>
      <c r="C734" s="869" t="s">
        <v>405</v>
      </c>
      <c r="D734" s="869"/>
      <c r="E734" s="115"/>
      <c r="F734" s="434">
        <v>12.57</v>
      </c>
    </row>
    <row r="735" spans="1:6" ht="15" customHeight="1">
      <c r="A735" s="435" t="s">
        <v>326</v>
      </c>
      <c r="B735" s="445" t="s">
        <v>332</v>
      </c>
      <c r="C735" s="434">
        <v>1.6</v>
      </c>
      <c r="D735" s="434">
        <v>3.27</v>
      </c>
      <c r="E735" s="115">
        <f>ROUNDDOWN((0.8*2.1)+(0.6*0.7)-2,2)</f>
        <v>0.1</v>
      </c>
      <c r="F735" s="114">
        <f>((C735*D735)-E735)</f>
        <v>5.1320000000000006</v>
      </c>
    </row>
    <row r="736" spans="1:6" ht="15" customHeight="1">
      <c r="A736" s="880" t="s">
        <v>333</v>
      </c>
      <c r="B736" s="444" t="s">
        <v>103</v>
      </c>
      <c r="C736" s="78">
        <v>1.66</v>
      </c>
      <c r="D736" s="78">
        <v>3.08</v>
      </c>
      <c r="E736" s="114"/>
      <c r="F736" s="114">
        <f>D736*C736</f>
        <v>5.1128</v>
      </c>
    </row>
    <row r="737" spans="1:6" ht="15" customHeight="1">
      <c r="A737" s="873"/>
      <c r="B737" s="444" t="s">
        <v>332</v>
      </c>
      <c r="C737" s="78">
        <v>3.59</v>
      </c>
      <c r="D737" s="78">
        <v>3.08</v>
      </c>
      <c r="E737" s="114"/>
      <c r="F737" s="114">
        <f>D737*C737</f>
        <v>11.0572</v>
      </c>
    </row>
    <row r="738" spans="1:6" ht="15" customHeight="1">
      <c r="A738" s="881"/>
      <c r="B738" s="444" t="s">
        <v>388</v>
      </c>
      <c r="C738" s="890" t="s">
        <v>104</v>
      </c>
      <c r="D738" s="891"/>
      <c r="E738" s="115"/>
      <c r="F738" s="114">
        <f>(3.79*3.08)-(2.6*1)</f>
        <v>9.0731999999999999</v>
      </c>
    </row>
    <row r="739" spans="1:6" ht="15" customHeight="1">
      <c r="A739" s="436" t="s">
        <v>329</v>
      </c>
      <c r="B739" s="444" t="s">
        <v>408</v>
      </c>
      <c r="C739" s="448">
        <v>1.6</v>
      </c>
      <c r="D739" s="78">
        <v>3.08</v>
      </c>
      <c r="E739" s="115"/>
      <c r="F739" s="114">
        <f>D739*C739</f>
        <v>4.9280000000000008</v>
      </c>
    </row>
    <row r="740" spans="1:6" ht="15" customHeight="1">
      <c r="A740" s="436"/>
      <c r="B740" s="436" t="s">
        <v>407</v>
      </c>
      <c r="C740" s="448">
        <v>14.05</v>
      </c>
      <c r="D740" s="78">
        <f>2.11+1.1</f>
        <v>3.21</v>
      </c>
      <c r="E740" s="115"/>
      <c r="F740" s="114">
        <f>D740*C740</f>
        <v>45.100500000000004</v>
      </c>
    </row>
    <row r="741" spans="1:6" ht="15" customHeight="1">
      <c r="A741" s="85"/>
      <c r="B741" s="438" t="s">
        <v>409</v>
      </c>
      <c r="C741" s="158">
        <f>6.26+14.05</f>
        <v>20.310000000000002</v>
      </c>
      <c r="D741" s="86">
        <v>0.54</v>
      </c>
      <c r="E741" s="159"/>
      <c r="F741" s="110">
        <f>D741*C741</f>
        <v>10.967400000000001</v>
      </c>
    </row>
    <row r="742" spans="1:6" ht="15" customHeight="1">
      <c r="A742" s="804" t="s">
        <v>410</v>
      </c>
      <c r="B742" s="879" t="s">
        <v>411</v>
      </c>
      <c r="C742" s="448">
        <v>13.36</v>
      </c>
      <c r="D742" s="78">
        <v>4.33</v>
      </c>
      <c r="E742" s="115">
        <f>ROUNDDOWN((1.1*2)+(1.1*2)+(1.1*2)-2,2)</f>
        <v>4.5999999999999996</v>
      </c>
      <c r="F742" s="114">
        <f>((C742*D742)-E742)</f>
        <v>53.248799999999996</v>
      </c>
    </row>
    <row r="743" spans="1:6" ht="15" customHeight="1">
      <c r="A743" s="804"/>
      <c r="B743" s="879"/>
      <c r="C743" s="448">
        <v>2.74</v>
      </c>
      <c r="D743" s="78">
        <f>4.33-0.54</f>
        <v>3.79</v>
      </c>
      <c r="E743" s="115"/>
      <c r="F743" s="114">
        <f>D743*C743</f>
        <v>10.384600000000001</v>
      </c>
    </row>
    <row r="744" spans="1:6" ht="15" customHeight="1">
      <c r="A744" s="804"/>
      <c r="B744" s="879"/>
      <c r="C744" s="448">
        <v>1.97</v>
      </c>
      <c r="D744" s="78">
        <v>1.57</v>
      </c>
      <c r="E744" s="115"/>
      <c r="F744" s="114">
        <f>D744*C744</f>
        <v>3.0929000000000002</v>
      </c>
    </row>
    <row r="745" spans="1:6" ht="15" customHeight="1">
      <c r="A745" s="804"/>
      <c r="B745" s="444" t="s">
        <v>103</v>
      </c>
      <c r="C745" s="448">
        <f>6.28+0.7+0.7</f>
        <v>7.6800000000000006</v>
      </c>
      <c r="D745" s="78">
        <v>2.98</v>
      </c>
      <c r="E745" s="115"/>
      <c r="F745" s="114">
        <f>D745*C745</f>
        <v>22.886400000000002</v>
      </c>
    </row>
    <row r="746" spans="1:6" ht="15" customHeight="1">
      <c r="A746" s="804"/>
      <c r="B746" s="879" t="s">
        <v>332</v>
      </c>
      <c r="C746" s="78">
        <v>11.99</v>
      </c>
      <c r="D746" s="78">
        <v>3.23</v>
      </c>
      <c r="E746" s="115">
        <f>ROUNDDOWN((1.1*2)+(1.1*2)+(1.1*2)-2,2)</f>
        <v>4.5999999999999996</v>
      </c>
      <c r="F746" s="114">
        <f>((C746*D746)-E746)</f>
        <v>34.127699999999997</v>
      </c>
    </row>
    <row r="747" spans="1:6" ht="15" customHeight="1">
      <c r="A747" s="804"/>
      <c r="B747" s="879"/>
      <c r="C747" s="434">
        <v>2.97</v>
      </c>
      <c r="D747" s="434">
        <f>3.23-2.23</f>
        <v>1</v>
      </c>
      <c r="E747" s="115"/>
      <c r="F747" s="114">
        <f>D747*C747</f>
        <v>2.97</v>
      </c>
    </row>
    <row r="748" spans="1:6" ht="15" customHeight="1">
      <c r="A748" s="804"/>
      <c r="B748" s="879"/>
      <c r="C748" s="78">
        <f>(2.08*2)+1.6</f>
        <v>5.76</v>
      </c>
      <c r="D748" s="78">
        <v>2.95</v>
      </c>
      <c r="E748" s="120"/>
      <c r="F748" s="114">
        <f>D748*C748</f>
        <v>16.992000000000001</v>
      </c>
    </row>
    <row r="749" spans="1:6" ht="15" customHeight="1">
      <c r="A749" s="804"/>
      <c r="B749" s="879"/>
      <c r="C749" s="78">
        <v>4.1100000000000003</v>
      </c>
      <c r="D749" s="78">
        <f>3.23+0.54</f>
        <v>3.77</v>
      </c>
      <c r="E749" s="120"/>
      <c r="F749" s="114">
        <f>D749*C749</f>
        <v>15.494700000000002</v>
      </c>
    </row>
    <row r="750" spans="1:6" ht="30" customHeight="1">
      <c r="A750" s="804"/>
      <c r="B750" s="629" t="s">
        <v>415</v>
      </c>
      <c r="C750" s="869" t="s">
        <v>104</v>
      </c>
      <c r="D750" s="869"/>
      <c r="E750" s="120"/>
      <c r="F750" s="114">
        <f>24.7+2.7</f>
        <v>27.4</v>
      </c>
    </row>
    <row r="751" spans="1:6" ht="15" customHeight="1">
      <c r="A751" s="989" t="s">
        <v>412</v>
      </c>
      <c r="B751" s="445" t="s">
        <v>399</v>
      </c>
      <c r="C751" s="366">
        <f>3.95+1.15+0.13+0.73</f>
        <v>5.9599999999999991</v>
      </c>
      <c r="D751" s="366">
        <v>2.98</v>
      </c>
      <c r="E751" s="120"/>
      <c r="F751" s="471">
        <f>D751*C751</f>
        <v>17.760799999999996</v>
      </c>
    </row>
    <row r="752" spans="1:6" ht="15" customHeight="1">
      <c r="A752" s="989"/>
      <c r="B752" s="445" t="s">
        <v>335</v>
      </c>
      <c r="C752" s="366">
        <f>0.73+0.73+0.13</f>
        <v>1.5899999999999999</v>
      </c>
      <c r="D752" s="78">
        <v>2.98</v>
      </c>
      <c r="E752" s="120"/>
      <c r="F752" s="102">
        <f>D752*C752</f>
        <v>4.7382</v>
      </c>
    </row>
    <row r="753" spans="1:6" ht="15" customHeight="1" thickBot="1">
      <c r="A753" s="990"/>
      <c r="B753" s="210" t="s">
        <v>413</v>
      </c>
      <c r="C753" s="477">
        <v>3.95</v>
      </c>
      <c r="D753" s="477">
        <v>0.63</v>
      </c>
      <c r="E753" s="211"/>
      <c r="F753" s="472">
        <f>((D753*C753)*6)+((0.15*C753)*3)+(C753*0.73)+(0.1*C753)</f>
        <v>19.987000000000002</v>
      </c>
    </row>
    <row r="754" spans="1:6" ht="15" customHeight="1">
      <c r="A754" s="873" t="s">
        <v>414</v>
      </c>
      <c r="B754" s="447" t="s">
        <v>411</v>
      </c>
      <c r="C754" s="452">
        <v>10.08</v>
      </c>
      <c r="D754" s="452">
        <v>3.15</v>
      </c>
      <c r="E754" s="116">
        <f>ROUNDDOWN((1.1*2)+(1.1*2)+(1.1*2)+(1.1*2)-2,2)</f>
        <v>6.8</v>
      </c>
      <c r="F754" s="102">
        <f>ROUNDDOWN((D754*C754)-E754,2)</f>
        <v>24.95</v>
      </c>
    </row>
    <row r="755" spans="1:6" ht="15" customHeight="1">
      <c r="A755" s="873"/>
      <c r="B755" s="444" t="s">
        <v>103</v>
      </c>
      <c r="C755" s="366">
        <v>12.01</v>
      </c>
      <c r="D755" s="452">
        <v>3.15</v>
      </c>
      <c r="E755" s="116">
        <f>ROUNDDOWN((1.1*1.6)+(1.1*1.6)-2,2)</f>
        <v>1.52</v>
      </c>
      <c r="F755" s="102">
        <f t="shared" ref="F755:F757" si="23">ROUNDDOWN((D755*C755)-E755,2)</f>
        <v>36.31</v>
      </c>
    </row>
    <row r="756" spans="1:6" ht="15" customHeight="1">
      <c r="A756" s="873"/>
      <c r="B756" s="445" t="s">
        <v>416</v>
      </c>
      <c r="C756" s="366">
        <v>10.08</v>
      </c>
      <c r="D756" s="452">
        <v>3.15</v>
      </c>
      <c r="E756" s="116">
        <f>ROUNDDOWN((1.1*2)+(1.1*2)+(1.1*2)+(1.1*2)-2,2)</f>
        <v>6.8</v>
      </c>
      <c r="F756" s="102">
        <f t="shared" si="23"/>
        <v>24.95</v>
      </c>
    </row>
    <row r="757" spans="1:6" ht="15" customHeight="1">
      <c r="A757" s="873"/>
      <c r="B757" s="445" t="s">
        <v>417</v>
      </c>
      <c r="C757" s="366">
        <v>12.01</v>
      </c>
      <c r="D757" s="452">
        <v>3.15</v>
      </c>
      <c r="E757" s="116">
        <f>ROUNDDOWN((1.1*1.6)+(1.1*1.6)-2,2)</f>
        <v>1.52</v>
      </c>
      <c r="F757" s="102">
        <f t="shared" si="23"/>
        <v>36.31</v>
      </c>
    </row>
    <row r="758" spans="1:6" ht="15" customHeight="1">
      <c r="A758" s="873"/>
      <c r="B758" s="445" t="s">
        <v>434</v>
      </c>
      <c r="C758" s="366">
        <f>16.35+0.32+0.23</f>
        <v>16.900000000000002</v>
      </c>
      <c r="D758" s="366">
        <v>2.2000000000000002</v>
      </c>
      <c r="E758" s="120"/>
      <c r="F758" s="102">
        <f>D758*C758</f>
        <v>37.180000000000007</v>
      </c>
    </row>
    <row r="759" spans="1:6" ht="15" customHeight="1">
      <c r="A759" s="873"/>
      <c r="B759" s="445" t="s">
        <v>419</v>
      </c>
      <c r="C759" s="366">
        <v>14.04</v>
      </c>
      <c r="D759" s="366">
        <v>0.22</v>
      </c>
      <c r="E759" s="120"/>
      <c r="F759" s="434">
        <f>(((C759*D759)*2)+0.13*C759)*2</f>
        <v>16.005600000000001</v>
      </c>
    </row>
    <row r="760" spans="1:6" ht="15" customHeight="1">
      <c r="A760" s="873"/>
      <c r="B760" s="445" t="s">
        <v>418</v>
      </c>
      <c r="C760" s="366">
        <v>1.4</v>
      </c>
      <c r="D760" s="366">
        <f>2.2+0.23</f>
        <v>2.4300000000000002</v>
      </c>
      <c r="E760" s="120"/>
      <c r="F760" s="102">
        <f>D760*C760</f>
        <v>3.4020000000000001</v>
      </c>
    </row>
    <row r="761" spans="1:6" ht="15" customHeight="1">
      <c r="A761" s="873"/>
      <c r="B761" s="445" t="s">
        <v>149</v>
      </c>
      <c r="C761" s="366">
        <f>(0.2*4)*4</f>
        <v>3.2</v>
      </c>
      <c r="D761" s="366">
        <v>2.23</v>
      </c>
      <c r="E761" s="120"/>
      <c r="F761" s="102">
        <f>D761*C761</f>
        <v>7.1360000000000001</v>
      </c>
    </row>
    <row r="762" spans="1:6" ht="15" customHeight="1">
      <c r="A762" s="873"/>
      <c r="B762" s="445" t="s">
        <v>420</v>
      </c>
      <c r="C762" s="366">
        <f>16.49+1.2</f>
        <v>17.689999999999998</v>
      </c>
      <c r="D762" s="366">
        <v>1</v>
      </c>
      <c r="E762" s="120"/>
      <c r="F762" s="434">
        <f>D762*C762</f>
        <v>17.689999999999998</v>
      </c>
    </row>
    <row r="763" spans="1:6" ht="15" customHeight="1">
      <c r="A763" s="873"/>
      <c r="B763" s="445" t="s">
        <v>421</v>
      </c>
      <c r="C763" s="875" t="s">
        <v>104</v>
      </c>
      <c r="D763" s="876"/>
      <c r="E763" s="120"/>
      <c r="F763" s="434">
        <v>29.8</v>
      </c>
    </row>
    <row r="764" spans="1:6" ht="15" customHeight="1">
      <c r="A764" s="873"/>
      <c r="B764" s="445" t="s">
        <v>422</v>
      </c>
      <c r="C764" s="366">
        <v>15.66</v>
      </c>
      <c r="D764" s="366">
        <v>0.22</v>
      </c>
      <c r="E764" s="120"/>
      <c r="F764" s="434">
        <f>((C764*D764)*2)+0.13*C764</f>
        <v>8.9262000000000015</v>
      </c>
    </row>
    <row r="765" spans="1:6" ht="15" customHeight="1" thickBot="1">
      <c r="A765" s="874"/>
      <c r="B765" s="210" t="s">
        <v>423</v>
      </c>
      <c r="C765" s="882" t="s">
        <v>104</v>
      </c>
      <c r="D765" s="883"/>
      <c r="E765" s="211"/>
      <c r="F765" s="216">
        <f>2.93+2.45</f>
        <v>5.3800000000000008</v>
      </c>
    </row>
    <row r="766" spans="1:6" ht="15" customHeight="1" thickBot="1">
      <c r="A766" s="453"/>
      <c r="B766" s="454" t="s">
        <v>424</v>
      </c>
      <c r="C766" s="455">
        <v>7.36</v>
      </c>
      <c r="D766" s="455">
        <v>3.2</v>
      </c>
      <c r="E766" s="378"/>
      <c r="F766" s="343">
        <f>D766*C766</f>
        <v>23.552000000000003</v>
      </c>
    </row>
    <row r="767" spans="1:6" ht="15" customHeight="1">
      <c r="A767" s="872" t="s">
        <v>425</v>
      </c>
      <c r="B767" s="464" t="s">
        <v>416</v>
      </c>
      <c r="C767" s="877" t="s">
        <v>104</v>
      </c>
      <c r="D767" s="878"/>
      <c r="E767" s="350"/>
      <c r="F767" s="383">
        <f>41.87+20.97+20.97+1.21</f>
        <v>85.02</v>
      </c>
    </row>
    <row r="768" spans="1:6" ht="15" customHeight="1">
      <c r="A768" s="873"/>
      <c r="B768" s="445" t="s">
        <v>426</v>
      </c>
      <c r="C768" s="875" t="s">
        <v>104</v>
      </c>
      <c r="D768" s="876"/>
      <c r="E768" s="120"/>
      <c r="F768" s="434">
        <f>36.72+1.8+30.49+61.82+3.34</f>
        <v>134.16999999999999</v>
      </c>
    </row>
    <row r="769" spans="1:6" ht="25.5">
      <c r="A769" s="873"/>
      <c r="B769" s="445" t="s">
        <v>428</v>
      </c>
      <c r="C769" s="875" t="s">
        <v>104</v>
      </c>
      <c r="D769" s="876"/>
      <c r="E769" s="120"/>
      <c r="F769" s="434">
        <f>30.18+1.45</f>
        <v>31.63</v>
      </c>
    </row>
    <row r="770" spans="1:6" ht="13.5" thickBot="1">
      <c r="A770" s="874"/>
      <c r="B770" s="210" t="s">
        <v>427</v>
      </c>
      <c r="C770" s="882" t="s">
        <v>104</v>
      </c>
      <c r="D770" s="883"/>
      <c r="E770" s="211"/>
      <c r="F770" s="216">
        <f>23.04+24.96+2.49</f>
        <v>50.49</v>
      </c>
    </row>
    <row r="771" spans="1:6">
      <c r="A771" s="873" t="s">
        <v>448</v>
      </c>
      <c r="B771" s="447" t="s">
        <v>449</v>
      </c>
      <c r="C771" s="987" t="s">
        <v>104</v>
      </c>
      <c r="D771" s="988"/>
      <c r="E771" s="337"/>
      <c r="F771" s="102">
        <v>3.73</v>
      </c>
    </row>
    <row r="772" spans="1:6">
      <c r="A772" s="873"/>
      <c r="B772" s="204" t="s">
        <v>450</v>
      </c>
      <c r="C772" s="991" t="s">
        <v>104</v>
      </c>
      <c r="D772" s="992"/>
      <c r="E772" s="121"/>
      <c r="F772" s="111">
        <f>21.18+1.24</f>
        <v>22.419999999999998</v>
      </c>
    </row>
    <row r="773" spans="1:6" ht="13.5" thickBot="1">
      <c r="A773" s="456"/>
      <c r="B773" s="469" t="s">
        <v>451</v>
      </c>
      <c r="C773" s="158">
        <v>6.31</v>
      </c>
      <c r="D773" s="158">
        <f>0.8+0.5</f>
        <v>1.3</v>
      </c>
      <c r="E773" s="121"/>
      <c r="F773" s="111">
        <f>D773*C773</f>
        <v>8.2029999999999994</v>
      </c>
    </row>
    <row r="774" spans="1:6" ht="13.5" customHeight="1" thickBot="1">
      <c r="A774" s="72">
        <v>72125</v>
      </c>
      <c r="B774" s="784" t="s">
        <v>561</v>
      </c>
      <c r="C774" s="784"/>
      <c r="D774" s="784"/>
      <c r="E774" s="73" t="s">
        <v>87</v>
      </c>
      <c r="F774" s="135">
        <f>ROUNDDOWN(F776+F777+F778+F779+F780+F781+F782+F783+F784+F785+F786+F788+F789+F790+F791+F792+F793+F794+F795+F796+F797+F798+F799+F800+F801+F802+F803+F804+F805+F806+F807+F808+F809+F810+F811+F812+F813,2)</f>
        <v>1207.32</v>
      </c>
    </row>
    <row r="775" spans="1:6">
      <c r="A775" s="457" t="s">
        <v>432</v>
      </c>
      <c r="B775" s="116" t="s">
        <v>83</v>
      </c>
      <c r="C775" s="116" t="s">
        <v>84</v>
      </c>
      <c r="D775" s="116" t="s">
        <v>90</v>
      </c>
      <c r="E775" s="117" t="s">
        <v>102</v>
      </c>
      <c r="F775" s="95" t="s">
        <v>13</v>
      </c>
    </row>
    <row r="776" spans="1:6">
      <c r="A776" s="1013" t="s">
        <v>290</v>
      </c>
      <c r="B776" s="412" t="s">
        <v>429</v>
      </c>
      <c r="C776" s="366">
        <v>4.3899999999999997</v>
      </c>
      <c r="D776" s="366">
        <v>2.96</v>
      </c>
      <c r="E776" s="115">
        <f>ROUNDDOWN((1.1*2)-2,2)</f>
        <v>0.2</v>
      </c>
      <c r="F776" s="114">
        <f>((C776*D776)-E776)</f>
        <v>12.7944</v>
      </c>
    </row>
    <row r="777" spans="1:6">
      <c r="A777" s="1014"/>
      <c r="B777" s="412" t="s">
        <v>430</v>
      </c>
      <c r="C777" s="366">
        <v>3.94</v>
      </c>
      <c r="D777" s="366">
        <v>2.96</v>
      </c>
      <c r="E777" s="115"/>
      <c r="F777" s="114">
        <f>D777*C777</f>
        <v>11.6624</v>
      </c>
    </row>
    <row r="778" spans="1:6">
      <c r="A778" s="1013" t="s">
        <v>384</v>
      </c>
      <c r="B778" s="412" t="s">
        <v>429</v>
      </c>
      <c r="C778" s="366">
        <v>4.3899999999999997</v>
      </c>
      <c r="D778" s="366">
        <v>2.96</v>
      </c>
      <c r="E778" s="115">
        <f>ROUNDDOWN((1.1*2)-2,2)</f>
        <v>0.2</v>
      </c>
      <c r="F778" s="114">
        <f>((C778*D778)-E778)</f>
        <v>12.7944</v>
      </c>
    </row>
    <row r="779" spans="1:6">
      <c r="A779" s="1014"/>
      <c r="B779" s="412" t="s">
        <v>431</v>
      </c>
      <c r="C779" s="366">
        <v>3.94</v>
      </c>
      <c r="D779" s="366">
        <v>2.96</v>
      </c>
      <c r="E779" s="121"/>
      <c r="F779" s="110">
        <f>D779*C779</f>
        <v>11.6624</v>
      </c>
    </row>
    <row r="780" spans="1:6">
      <c r="A780" s="103"/>
      <c r="B780" s="444" t="s">
        <v>379</v>
      </c>
      <c r="C780" s="448">
        <v>17.7</v>
      </c>
      <c r="D780" s="366">
        <v>2.96</v>
      </c>
      <c r="E780" s="115">
        <f>ROUNDDOWN((1.1*2)-2,2)</f>
        <v>0.2</v>
      </c>
      <c r="F780" s="114">
        <f>(D780*C780)-E780</f>
        <v>52.191999999999993</v>
      </c>
    </row>
    <row r="781" spans="1:6">
      <c r="A781" s="103"/>
      <c r="B781" s="444" t="s">
        <v>362</v>
      </c>
      <c r="C781" s="78">
        <v>19.739999999999998</v>
      </c>
      <c r="D781" s="366">
        <v>2.94</v>
      </c>
      <c r="E781" s="115">
        <f>ROUNDDOWN((1.1*2)+(1.1*2)-2,2)</f>
        <v>2.4</v>
      </c>
      <c r="F781" s="114">
        <f>(D781*C781)-E781</f>
        <v>55.635599999999997</v>
      </c>
    </row>
    <row r="782" spans="1:6">
      <c r="A782" s="103"/>
      <c r="B782" s="444" t="s">
        <v>349</v>
      </c>
      <c r="C782" s="78">
        <v>8.84</v>
      </c>
      <c r="D782" s="78">
        <v>2.6</v>
      </c>
      <c r="E782" s="115"/>
      <c r="F782" s="434">
        <f>D782*C782</f>
        <v>22.984000000000002</v>
      </c>
    </row>
    <row r="783" spans="1:6">
      <c r="A783" s="103"/>
      <c r="B783" s="444" t="s">
        <v>347</v>
      </c>
      <c r="C783" s="78">
        <v>21.44</v>
      </c>
      <c r="D783" s="78">
        <v>2.95</v>
      </c>
      <c r="E783" s="115"/>
      <c r="F783" s="434">
        <f>D783*C783</f>
        <v>63.248000000000005</v>
      </c>
    </row>
    <row r="784" spans="1:6">
      <c r="A784" s="103"/>
      <c r="B784" s="444" t="s">
        <v>348</v>
      </c>
      <c r="C784" s="78">
        <v>21.34</v>
      </c>
      <c r="D784" s="78">
        <v>2.95</v>
      </c>
      <c r="E784" s="115"/>
      <c r="F784" s="434">
        <f>D784*C784</f>
        <v>62.953000000000003</v>
      </c>
    </row>
    <row r="785" spans="1:6">
      <c r="A785" s="103"/>
      <c r="B785" s="444" t="s">
        <v>116</v>
      </c>
      <c r="C785" s="78">
        <v>21.28</v>
      </c>
      <c r="D785" s="78">
        <v>2.95</v>
      </c>
      <c r="E785" s="115"/>
      <c r="F785" s="434">
        <f>D785*C785</f>
        <v>62.77600000000001</v>
      </c>
    </row>
    <row r="786" spans="1:6" ht="13.5" thickBot="1">
      <c r="A786" s="450"/>
      <c r="B786" s="327" t="s">
        <v>153</v>
      </c>
      <c r="C786" s="100">
        <v>21.18</v>
      </c>
      <c r="D786" s="100">
        <v>2.95</v>
      </c>
      <c r="E786" s="338"/>
      <c r="F786" s="216">
        <f>D786*C786</f>
        <v>62.481000000000002</v>
      </c>
    </row>
    <row r="787" spans="1:6" ht="13.5" thickBot="1">
      <c r="A787" s="460" t="s">
        <v>433</v>
      </c>
      <c r="B787" s="458"/>
      <c r="C787" s="377"/>
      <c r="D787" s="377"/>
      <c r="E787" s="344"/>
      <c r="F787" s="459"/>
    </row>
    <row r="788" spans="1:6">
      <c r="A788" s="993" t="s">
        <v>410</v>
      </c>
      <c r="B788" s="888" t="s">
        <v>411</v>
      </c>
      <c r="C788" s="342">
        <v>13.36</v>
      </c>
      <c r="D788" s="90">
        <v>4.33</v>
      </c>
      <c r="E788" s="116">
        <f>ROUNDDOWN((1.1*2)+(1.1*2)+(1.1*2)-2,2)</f>
        <v>4.5999999999999996</v>
      </c>
      <c r="F788" s="340">
        <f>((C788*D788)-E788)</f>
        <v>53.248799999999996</v>
      </c>
    </row>
    <row r="789" spans="1:6">
      <c r="A789" s="929"/>
      <c r="B789" s="879"/>
      <c r="C789" s="448">
        <v>2.74</v>
      </c>
      <c r="D789" s="78">
        <f>4.33-0.54</f>
        <v>3.79</v>
      </c>
      <c r="E789" s="115"/>
      <c r="F789" s="114">
        <f>D789*C789</f>
        <v>10.384600000000001</v>
      </c>
    </row>
    <row r="790" spans="1:6">
      <c r="A790" s="929"/>
      <c r="B790" s="879"/>
      <c r="C790" s="448">
        <v>1.97</v>
      </c>
      <c r="D790" s="78">
        <v>1.57</v>
      </c>
      <c r="E790" s="115"/>
      <c r="F790" s="114">
        <f>D790*C790</f>
        <v>3.0929000000000002</v>
      </c>
    </row>
    <row r="791" spans="1:6">
      <c r="A791" s="929"/>
      <c r="B791" s="444" t="s">
        <v>103</v>
      </c>
      <c r="C791" s="448">
        <f>6.28+0.7+0.7</f>
        <v>7.6800000000000006</v>
      </c>
      <c r="D791" s="78">
        <v>2.98</v>
      </c>
      <c r="E791" s="115"/>
      <c r="F791" s="114">
        <f>D791*C791</f>
        <v>22.886400000000002</v>
      </c>
    </row>
    <row r="792" spans="1:6">
      <c r="A792" s="929"/>
      <c r="B792" s="879" t="s">
        <v>332</v>
      </c>
      <c r="C792" s="78">
        <v>11.99</v>
      </c>
      <c r="D792" s="78">
        <v>3.23</v>
      </c>
      <c r="E792" s="115">
        <f>ROUNDDOWN((1.1*2)+(1.1*2)+(1.1*2)-2,2)</f>
        <v>4.5999999999999996</v>
      </c>
      <c r="F792" s="114">
        <f>((C792*D792)-E792)</f>
        <v>34.127699999999997</v>
      </c>
    </row>
    <row r="793" spans="1:6">
      <c r="A793" s="929"/>
      <c r="B793" s="879"/>
      <c r="C793" s="434">
        <v>2.97</v>
      </c>
      <c r="D793" s="434">
        <f>3.23-2.23</f>
        <v>1</v>
      </c>
      <c r="E793" s="115"/>
      <c r="F793" s="114">
        <f>D793*C793</f>
        <v>2.97</v>
      </c>
    </row>
    <row r="794" spans="1:6">
      <c r="A794" s="929"/>
      <c r="B794" s="879"/>
      <c r="C794" s="78">
        <f>(2.08*2)+1.6</f>
        <v>5.76</v>
      </c>
      <c r="D794" s="78">
        <v>2.95</v>
      </c>
      <c r="E794" s="120"/>
      <c r="F794" s="114">
        <f>D794*C794</f>
        <v>16.992000000000001</v>
      </c>
    </row>
    <row r="795" spans="1:6">
      <c r="A795" s="929"/>
      <c r="B795" s="879"/>
      <c r="C795" s="78">
        <v>4.1100000000000003</v>
      </c>
      <c r="D795" s="78">
        <f>3.23+0.54</f>
        <v>3.77</v>
      </c>
      <c r="E795" s="120"/>
      <c r="F795" s="114">
        <f>D795*C795</f>
        <v>15.494700000000002</v>
      </c>
    </row>
    <row r="796" spans="1:6" ht="13.5" thickBot="1">
      <c r="A796" s="994"/>
      <c r="B796" s="327" t="s">
        <v>415</v>
      </c>
      <c r="C796" s="1015" t="s">
        <v>104</v>
      </c>
      <c r="D796" s="1015"/>
      <c r="E796" s="211"/>
      <c r="F796" s="341">
        <f>24.7+2.7</f>
        <v>27.4</v>
      </c>
    </row>
    <row r="797" spans="1:6">
      <c r="A797" s="893" t="s">
        <v>414</v>
      </c>
      <c r="B797" s="447" t="s">
        <v>411</v>
      </c>
      <c r="C797" s="452">
        <v>10.08</v>
      </c>
      <c r="D797" s="452">
        <v>3.15</v>
      </c>
      <c r="E797" s="337"/>
      <c r="F797" s="102">
        <f>D797*C797</f>
        <v>31.751999999999999</v>
      </c>
    </row>
    <row r="798" spans="1:6">
      <c r="A798" s="893"/>
      <c r="B798" s="444" t="s">
        <v>103</v>
      </c>
      <c r="C798" s="366">
        <v>12.01</v>
      </c>
      <c r="D798" s="452">
        <v>3.15</v>
      </c>
      <c r="E798" s="120"/>
      <c r="F798" s="102">
        <f>D798*C798</f>
        <v>37.831499999999998</v>
      </c>
    </row>
    <row r="799" spans="1:6">
      <c r="A799" s="893"/>
      <c r="B799" s="445" t="s">
        <v>416</v>
      </c>
      <c r="C799" s="366">
        <v>10.08</v>
      </c>
      <c r="D799" s="452">
        <v>3.15</v>
      </c>
      <c r="E799" s="120"/>
      <c r="F799" s="102">
        <f>D799*C799</f>
        <v>31.751999999999999</v>
      </c>
    </row>
    <row r="800" spans="1:6">
      <c r="A800" s="893"/>
      <c r="B800" s="445" t="s">
        <v>417</v>
      </c>
      <c r="C800" s="366">
        <v>12.01</v>
      </c>
      <c r="D800" s="452">
        <v>3.15</v>
      </c>
      <c r="E800" s="120"/>
      <c r="F800" s="102">
        <f>D800*C800</f>
        <v>37.831499999999998</v>
      </c>
    </row>
    <row r="801" spans="1:6" ht="25.5">
      <c r="A801" s="893"/>
      <c r="B801" s="445" t="s">
        <v>434</v>
      </c>
      <c r="C801" s="366">
        <f>16.35+0.32+0.23</f>
        <v>16.900000000000002</v>
      </c>
      <c r="D801" s="366">
        <v>2.2000000000000002</v>
      </c>
      <c r="E801" s="120"/>
      <c r="F801" s="102">
        <f>D801*C801</f>
        <v>37.180000000000007</v>
      </c>
    </row>
    <row r="802" spans="1:6" ht="25.5">
      <c r="A802" s="893"/>
      <c r="B802" s="445" t="s">
        <v>419</v>
      </c>
      <c r="C802" s="366">
        <v>14.04</v>
      </c>
      <c r="D802" s="366">
        <v>0.22</v>
      </c>
      <c r="E802" s="120"/>
      <c r="F802" s="434">
        <f>(((C802*D802)*2)+0.13*C802)*2</f>
        <v>16.005600000000001</v>
      </c>
    </row>
    <row r="803" spans="1:6" ht="25.5">
      <c r="A803" s="893"/>
      <c r="B803" s="445" t="s">
        <v>418</v>
      </c>
      <c r="C803" s="366">
        <v>1.4</v>
      </c>
      <c r="D803" s="366">
        <f>2.2+0.23</f>
        <v>2.4300000000000002</v>
      </c>
      <c r="E803" s="120"/>
      <c r="F803" s="102">
        <f>D803*C803</f>
        <v>3.4020000000000001</v>
      </c>
    </row>
    <row r="804" spans="1:6">
      <c r="A804" s="893"/>
      <c r="B804" s="445" t="s">
        <v>149</v>
      </c>
      <c r="C804" s="366">
        <f>(0.2*4)*4</f>
        <v>3.2</v>
      </c>
      <c r="D804" s="366">
        <v>2.23</v>
      </c>
      <c r="E804" s="120"/>
      <c r="F804" s="102">
        <f>D804*C804</f>
        <v>7.1360000000000001</v>
      </c>
    </row>
    <row r="805" spans="1:6" ht="25.5">
      <c r="A805" s="893"/>
      <c r="B805" s="445" t="s">
        <v>420</v>
      </c>
      <c r="C805" s="366">
        <f>16.49+1.2</f>
        <v>17.689999999999998</v>
      </c>
      <c r="D805" s="366">
        <v>1</v>
      </c>
      <c r="E805" s="120"/>
      <c r="F805" s="434">
        <f>D805*C805</f>
        <v>17.689999999999998</v>
      </c>
    </row>
    <row r="806" spans="1:6" ht="25.5">
      <c r="A806" s="893"/>
      <c r="B806" s="445" t="s">
        <v>421</v>
      </c>
      <c r="C806" s="875" t="s">
        <v>104</v>
      </c>
      <c r="D806" s="876"/>
      <c r="E806" s="120"/>
      <c r="F806" s="434">
        <v>29.8</v>
      </c>
    </row>
    <row r="807" spans="1:6">
      <c r="A807" s="893"/>
      <c r="B807" s="445" t="s">
        <v>422</v>
      </c>
      <c r="C807" s="366">
        <v>15.66</v>
      </c>
      <c r="D807" s="366">
        <v>0.22</v>
      </c>
      <c r="E807" s="120"/>
      <c r="F807" s="434">
        <f>((C807*D807)*2)+0.13*C807</f>
        <v>8.9262000000000015</v>
      </c>
    </row>
    <row r="808" spans="1:6" ht="26.25" thickBot="1">
      <c r="A808" s="894"/>
      <c r="B808" s="210" t="s">
        <v>423</v>
      </c>
      <c r="C808" s="882" t="s">
        <v>104</v>
      </c>
      <c r="D808" s="883"/>
      <c r="E808" s="211"/>
      <c r="F808" s="216">
        <f>2.93+2.45</f>
        <v>5.3800000000000008</v>
      </c>
    </row>
    <row r="809" spans="1:6" ht="13.5" thickBot="1">
      <c r="A809" s="461"/>
      <c r="B809" s="384" t="s">
        <v>424</v>
      </c>
      <c r="C809" s="455">
        <v>7.36</v>
      </c>
      <c r="D809" s="455">
        <v>3.2</v>
      </c>
      <c r="E809" s="378"/>
      <c r="F809" s="343">
        <f>D809*C809</f>
        <v>23.552000000000003</v>
      </c>
    </row>
    <row r="810" spans="1:6" ht="25.5">
      <c r="A810" s="995" t="s">
        <v>425</v>
      </c>
      <c r="B810" s="447" t="s">
        <v>416</v>
      </c>
      <c r="C810" s="479" t="s">
        <v>104</v>
      </c>
      <c r="D810" s="480"/>
      <c r="E810" s="337"/>
      <c r="F810" s="102">
        <f>41.87+20.97+20.97+1.21</f>
        <v>85.02</v>
      </c>
    </row>
    <row r="811" spans="1:6" ht="25.5">
      <c r="A811" s="893"/>
      <c r="B811" s="445" t="s">
        <v>426</v>
      </c>
      <c r="C811" s="479" t="s">
        <v>104</v>
      </c>
      <c r="D811" s="480"/>
      <c r="E811" s="120"/>
      <c r="F811" s="434">
        <f>36.72+1.8+30.49+61.82+3.34</f>
        <v>134.16999999999999</v>
      </c>
    </row>
    <row r="812" spans="1:6" ht="25.5">
      <c r="A812" s="893"/>
      <c r="B812" s="445" t="s">
        <v>428</v>
      </c>
      <c r="C812" s="875" t="s">
        <v>104</v>
      </c>
      <c r="D812" s="876"/>
      <c r="E812" s="120"/>
      <c r="F812" s="434">
        <f>30.18+1.45</f>
        <v>31.63</v>
      </c>
    </row>
    <row r="813" spans="1:6" ht="13.5" thickBot="1">
      <c r="A813" s="984"/>
      <c r="B813" s="445" t="s">
        <v>427</v>
      </c>
      <c r="C813" s="875" t="s">
        <v>104</v>
      </c>
      <c r="D813" s="876"/>
      <c r="E813" s="120"/>
      <c r="F813" s="434">
        <f>23.04+24.96+2.49</f>
        <v>50.49</v>
      </c>
    </row>
    <row r="814" spans="1:6" ht="26.25" customHeight="1" thickBot="1">
      <c r="A814" s="72">
        <v>88486</v>
      </c>
      <c r="B814" s="784" t="s">
        <v>293</v>
      </c>
      <c r="C814" s="784"/>
      <c r="D814" s="784"/>
      <c r="E814" s="73" t="s">
        <v>87</v>
      </c>
      <c r="F814" s="135">
        <f>ROUNDDOWN(E816+E817+E818+E819+E820+E821+E822+E823+E824+E825,2)</f>
        <v>132.87</v>
      </c>
    </row>
    <row r="815" spans="1:6">
      <c r="A815" s="334"/>
      <c r="B815" s="75" t="s">
        <v>83</v>
      </c>
      <c r="C815" s="75" t="s">
        <v>84</v>
      </c>
      <c r="D815" s="106" t="s">
        <v>85</v>
      </c>
      <c r="E815" s="351" t="s">
        <v>105</v>
      </c>
      <c r="F815" s="114"/>
    </row>
    <row r="816" spans="1:6">
      <c r="A816" s="334"/>
      <c r="B816" s="333" t="s">
        <v>362</v>
      </c>
      <c r="C816" s="316">
        <v>6.02</v>
      </c>
      <c r="D816" s="316">
        <v>3.85</v>
      </c>
      <c r="E816" s="115">
        <f>D816*C816</f>
        <v>23.177</v>
      </c>
      <c r="F816" s="114"/>
    </row>
    <row r="817" spans="1:6">
      <c r="A817" s="335"/>
      <c r="B817" s="333" t="s">
        <v>154</v>
      </c>
      <c r="C817" s="111">
        <v>3.94</v>
      </c>
      <c r="D817" s="316">
        <v>4.3899999999999997</v>
      </c>
      <c r="E817" s="115">
        <f t="shared" ref="E817:E825" si="24">D817*C817</f>
        <v>17.296599999999998</v>
      </c>
      <c r="F817" s="110"/>
    </row>
    <row r="818" spans="1:6">
      <c r="A818" s="335"/>
      <c r="B818" s="333" t="s">
        <v>363</v>
      </c>
      <c r="C818" s="111">
        <v>3.94</v>
      </c>
      <c r="D818" s="111">
        <v>4.3899999999999997</v>
      </c>
      <c r="E818" s="115">
        <f t="shared" si="24"/>
        <v>17.296599999999998</v>
      </c>
      <c r="F818" s="110"/>
    </row>
    <row r="819" spans="1:6">
      <c r="A819" s="335"/>
      <c r="B819" s="333" t="s">
        <v>374</v>
      </c>
      <c r="C819" s="111">
        <v>1.95</v>
      </c>
      <c r="D819" s="111">
        <v>8.9</v>
      </c>
      <c r="E819" s="115">
        <f t="shared" si="24"/>
        <v>17.355</v>
      </c>
      <c r="F819" s="110"/>
    </row>
    <row r="820" spans="1:6">
      <c r="A820" s="335"/>
      <c r="B820" s="333" t="s">
        <v>379</v>
      </c>
      <c r="C820" s="316">
        <v>6.02</v>
      </c>
      <c r="D820" s="316">
        <v>2.83</v>
      </c>
      <c r="E820" s="115">
        <f t="shared" si="24"/>
        <v>17.0366</v>
      </c>
      <c r="F820" s="110"/>
    </row>
    <row r="821" spans="1:6">
      <c r="A821" s="335"/>
      <c r="B821" s="108" t="s">
        <v>313</v>
      </c>
      <c r="C821" s="111">
        <f>6.02-0.13</f>
        <v>5.89</v>
      </c>
      <c r="D821" s="111">
        <v>2.97</v>
      </c>
      <c r="E821" s="115">
        <f t="shared" si="24"/>
        <v>17.493300000000001</v>
      </c>
      <c r="F821" s="110"/>
    </row>
    <row r="822" spans="1:6">
      <c r="A822" s="334"/>
      <c r="B822" s="108" t="s">
        <v>365</v>
      </c>
      <c r="C822" s="399">
        <v>1.6</v>
      </c>
      <c r="D822" s="399">
        <v>3.66</v>
      </c>
      <c r="E822" s="115">
        <f t="shared" si="24"/>
        <v>5.8560000000000008</v>
      </c>
      <c r="F822" s="114"/>
    </row>
    <row r="823" spans="1:6">
      <c r="A823" s="334"/>
      <c r="B823" s="108" t="s">
        <v>366</v>
      </c>
      <c r="C823" s="399">
        <v>1.6</v>
      </c>
      <c r="D823" s="399">
        <v>3.66</v>
      </c>
      <c r="E823" s="115">
        <f t="shared" si="24"/>
        <v>5.8560000000000008</v>
      </c>
      <c r="F823" s="114"/>
    </row>
    <row r="824" spans="1:6">
      <c r="A824" s="334"/>
      <c r="B824" s="108" t="s">
        <v>367</v>
      </c>
      <c r="C824" s="399">
        <v>1.6</v>
      </c>
      <c r="D824" s="399">
        <f>3.66-0.13</f>
        <v>3.5300000000000002</v>
      </c>
      <c r="E824" s="115">
        <f t="shared" si="24"/>
        <v>5.6480000000000006</v>
      </c>
      <c r="F824" s="114"/>
    </row>
    <row r="825" spans="1:6" ht="13.5" thickBot="1">
      <c r="A825" s="401"/>
      <c r="B825" s="274" t="s">
        <v>375</v>
      </c>
      <c r="C825" s="111">
        <v>1.6</v>
      </c>
      <c r="D825" s="111">
        <v>3.66</v>
      </c>
      <c r="E825" s="159">
        <f t="shared" si="24"/>
        <v>5.8560000000000008</v>
      </c>
      <c r="F825" s="110"/>
    </row>
    <row r="826" spans="1:6" ht="27" customHeight="1" thickBot="1">
      <c r="A826" s="72" t="s">
        <v>439</v>
      </c>
      <c r="B826" s="784" t="s">
        <v>398</v>
      </c>
      <c r="C826" s="784"/>
      <c r="D826" s="784"/>
      <c r="E826" s="73" t="s">
        <v>87</v>
      </c>
      <c r="F826" s="135">
        <f>ROUNDDOWN(+F828+F829+F830+F831+F832,2)</f>
        <v>62.6</v>
      </c>
    </row>
    <row r="827" spans="1:6">
      <c r="A827" s="443"/>
      <c r="B827" s="75" t="s">
        <v>83</v>
      </c>
      <c r="C827" s="75" t="s">
        <v>84</v>
      </c>
      <c r="D827" s="106" t="s">
        <v>90</v>
      </c>
      <c r="E827" s="351" t="s">
        <v>285</v>
      </c>
      <c r="F827" s="351" t="s">
        <v>105</v>
      </c>
    </row>
    <row r="828" spans="1:6" ht="25.5">
      <c r="A828" s="892" t="s">
        <v>440</v>
      </c>
      <c r="B828" s="629" t="s">
        <v>441</v>
      </c>
      <c r="C828" s="434">
        <f>2.27+2.89+2.92+3.18</f>
        <v>11.26</v>
      </c>
      <c r="D828" s="434">
        <v>1</v>
      </c>
      <c r="E828" s="434">
        <v>2</v>
      </c>
      <c r="F828" s="114">
        <f>E828*D828*C828</f>
        <v>22.52</v>
      </c>
    </row>
    <row r="829" spans="1:6">
      <c r="A829" s="893"/>
      <c r="B829" s="274" t="s">
        <v>442</v>
      </c>
      <c r="C829" s="111">
        <v>3</v>
      </c>
      <c r="D829" s="111">
        <v>2.2999999999999998</v>
      </c>
      <c r="E829" s="111">
        <v>2</v>
      </c>
      <c r="F829" s="110">
        <f>E829*D829*C829</f>
        <v>13.799999999999999</v>
      </c>
    </row>
    <row r="830" spans="1:6">
      <c r="A830" s="984"/>
      <c r="B830" s="274" t="s">
        <v>444</v>
      </c>
      <c r="C830" s="111">
        <v>1.03</v>
      </c>
      <c r="D830" s="111">
        <v>2</v>
      </c>
      <c r="E830" s="111">
        <v>2</v>
      </c>
      <c r="F830" s="110">
        <f>E830*D830*C830</f>
        <v>4.12</v>
      </c>
    </row>
    <row r="831" spans="1:6">
      <c r="A831" s="443" t="s">
        <v>443</v>
      </c>
      <c r="B831" s="274" t="s">
        <v>442</v>
      </c>
      <c r="C831" s="111">
        <v>3.4</v>
      </c>
      <c r="D831" s="111">
        <v>2.6</v>
      </c>
      <c r="E831" s="111">
        <v>2</v>
      </c>
      <c r="F831" s="110">
        <f>E831*D831*C831</f>
        <v>17.68</v>
      </c>
    </row>
    <row r="832" spans="1:6" ht="13.5" thickBot="1">
      <c r="A832" s="432"/>
      <c r="B832" s="274" t="s">
        <v>444</v>
      </c>
      <c r="C832" s="111">
        <v>1.1200000000000001</v>
      </c>
      <c r="D832" s="111">
        <v>2</v>
      </c>
      <c r="E832" s="111">
        <v>2</v>
      </c>
      <c r="F832" s="110">
        <f>E832*D832*C832</f>
        <v>4.4800000000000004</v>
      </c>
    </row>
    <row r="833" spans="1:13" ht="13.5" thickBot="1">
      <c r="A833" s="71">
        <v>16</v>
      </c>
      <c r="B833" s="826" t="s">
        <v>565</v>
      </c>
      <c r="C833" s="782"/>
      <c r="D833" s="782"/>
      <c r="E833" s="782"/>
      <c r="F833" s="783"/>
    </row>
    <row r="834" spans="1:13" ht="26.25" customHeight="1" thickBot="1">
      <c r="A834" s="72" t="s">
        <v>566</v>
      </c>
      <c r="B834" s="814" t="s">
        <v>567</v>
      </c>
      <c r="C834" s="815"/>
      <c r="D834" s="816"/>
      <c r="E834" s="73" t="s">
        <v>98</v>
      </c>
      <c r="F834" s="74">
        <f>D836</f>
        <v>31.330000000000002</v>
      </c>
    </row>
    <row r="835" spans="1:13">
      <c r="A835" s="414"/>
      <c r="B835" s="796"/>
      <c r="C835" s="797"/>
      <c r="D835" s="627" t="s">
        <v>13</v>
      </c>
      <c r="E835" s="627"/>
      <c r="F835" s="95"/>
      <c r="G835" s="661">
        <v>37.61</v>
      </c>
      <c r="H835" s="662" t="s">
        <v>580</v>
      </c>
      <c r="I835" s="662"/>
      <c r="J835" s="662"/>
      <c r="K835" s="662"/>
      <c r="L835" s="662"/>
      <c r="M835" s="662"/>
    </row>
    <row r="836" spans="1:13" ht="13.5" thickBot="1">
      <c r="A836" s="276"/>
      <c r="B836" s="917" t="s">
        <v>575</v>
      </c>
      <c r="C836" s="918"/>
      <c r="D836" s="151">
        <f>(G835-D839)+3.55</f>
        <v>31.330000000000002</v>
      </c>
      <c r="E836" s="151"/>
      <c r="F836" s="96"/>
      <c r="G836" s="668" t="s">
        <v>582</v>
      </c>
    </row>
    <row r="837" spans="1:13" ht="27.75" customHeight="1" thickBot="1">
      <c r="A837" s="72">
        <v>130110</v>
      </c>
      <c r="B837" s="1009" t="s">
        <v>568</v>
      </c>
      <c r="C837" s="1010"/>
      <c r="D837" s="1011"/>
      <c r="E837" s="73" t="s">
        <v>98</v>
      </c>
      <c r="F837" s="74">
        <f>D839</f>
        <v>9.83</v>
      </c>
    </row>
    <row r="838" spans="1:13">
      <c r="A838" s="80"/>
      <c r="B838" s="627"/>
      <c r="C838" s="654"/>
      <c r="D838" s="627" t="s">
        <v>13</v>
      </c>
      <c r="E838" s="116"/>
      <c r="F838" s="99"/>
    </row>
    <row r="839" spans="1:13" ht="13.5" thickBot="1">
      <c r="A839" s="658"/>
      <c r="B839" s="981" t="s">
        <v>576</v>
      </c>
      <c r="C839" s="982"/>
      <c r="D839" s="659">
        <f>E848+E851</f>
        <v>9.83</v>
      </c>
      <c r="E839" s="86"/>
      <c r="F839" s="76"/>
    </row>
    <row r="840" spans="1:13" ht="51.75" customHeight="1" thickBot="1">
      <c r="A840" s="72" t="s">
        <v>569</v>
      </c>
      <c r="B840" s="814" t="s">
        <v>570</v>
      </c>
      <c r="C840" s="815"/>
      <c r="D840" s="816"/>
      <c r="E840" s="73" t="s">
        <v>87</v>
      </c>
      <c r="F840" s="74">
        <f>D842</f>
        <v>31.330000000000002</v>
      </c>
    </row>
    <row r="841" spans="1:13">
      <c r="A841" s="84"/>
      <c r="B841" s="126"/>
      <c r="C841" s="627"/>
      <c r="D841" s="627" t="s">
        <v>13</v>
      </c>
      <c r="E841" s="91"/>
      <c r="F841" s="87"/>
    </row>
    <row r="842" spans="1:13" ht="13.5" thickBot="1">
      <c r="A842" s="92"/>
      <c r="B842" s="917" t="s">
        <v>575</v>
      </c>
      <c r="C842" s="918"/>
      <c r="D842" s="86">
        <f>(G835-D839)+3.55</f>
        <v>31.330000000000002</v>
      </c>
      <c r="E842" s="85"/>
      <c r="F842" s="93"/>
    </row>
    <row r="843" spans="1:13" ht="13.5" thickBot="1">
      <c r="A843" s="72">
        <v>200202</v>
      </c>
      <c r="B843" s="814" t="s">
        <v>571</v>
      </c>
      <c r="C843" s="815"/>
      <c r="D843" s="816"/>
      <c r="E843" s="73" t="s">
        <v>17</v>
      </c>
      <c r="F843" s="74">
        <f>E845</f>
        <v>18.32</v>
      </c>
    </row>
    <row r="844" spans="1:13">
      <c r="A844" s="285"/>
      <c r="B844" s="627"/>
      <c r="C844" s="627"/>
      <c r="D844" s="82"/>
      <c r="E844" s="627" t="s">
        <v>13</v>
      </c>
      <c r="F844" s="284"/>
    </row>
    <row r="845" spans="1:13" ht="13.5" thickBot="1">
      <c r="A845" s="285"/>
      <c r="B845" s="628" t="s">
        <v>577</v>
      </c>
      <c r="C845" s="632"/>
      <c r="D845" s="632"/>
      <c r="E845" s="114">
        <f>4.66+13.66</f>
        <v>18.32</v>
      </c>
      <c r="F845" s="284"/>
    </row>
    <row r="846" spans="1:13" ht="54.75" customHeight="1" thickBot="1">
      <c r="A846" s="72">
        <v>200253</v>
      </c>
      <c r="B846" s="814" t="s">
        <v>572</v>
      </c>
      <c r="C846" s="815"/>
      <c r="D846" s="816"/>
      <c r="E846" s="73" t="s">
        <v>98</v>
      </c>
      <c r="F846" s="74">
        <f>E848</f>
        <v>8.8000000000000007</v>
      </c>
    </row>
    <row r="847" spans="1:13">
      <c r="A847" s="285"/>
      <c r="B847" s="627"/>
      <c r="C847" s="632"/>
      <c r="D847" s="632"/>
      <c r="E847" s="627" t="s">
        <v>13</v>
      </c>
      <c r="F847" s="284"/>
    </row>
    <row r="848" spans="1:13" ht="27.75" customHeight="1" thickBot="1">
      <c r="A848" s="285"/>
      <c r="B848" s="981" t="s">
        <v>578</v>
      </c>
      <c r="C848" s="1012"/>
      <c r="D848" s="982"/>
      <c r="E848" s="114">
        <f>2.09+5.7+1.01</f>
        <v>8.8000000000000007</v>
      </c>
      <c r="F848" s="284"/>
    </row>
    <row r="849" spans="1:6" ht="54.75" customHeight="1" thickBot="1">
      <c r="A849" s="72">
        <v>200254</v>
      </c>
      <c r="B849" s="814" t="s">
        <v>579</v>
      </c>
      <c r="C849" s="815"/>
      <c r="D849" s="816"/>
      <c r="E849" s="73" t="s">
        <v>98</v>
      </c>
      <c r="F849" s="74">
        <f>E851</f>
        <v>1.03</v>
      </c>
    </row>
    <row r="850" spans="1:6">
      <c r="A850" s="285"/>
      <c r="B850" s="627"/>
      <c r="C850" s="632"/>
      <c r="D850" s="632"/>
      <c r="E850" s="627" t="s">
        <v>13</v>
      </c>
      <c r="F850" s="284"/>
    </row>
    <row r="851" spans="1:6" ht="27.75" customHeight="1" thickBot="1">
      <c r="A851" s="660"/>
      <c r="B851" s="833" t="s">
        <v>578</v>
      </c>
      <c r="C851" s="1005"/>
      <c r="D851" s="834"/>
      <c r="E851" s="110">
        <v>1.03</v>
      </c>
      <c r="F851" s="93"/>
    </row>
    <row r="852" spans="1:6" ht="13.5" thickBot="1">
      <c r="A852" s="208">
        <v>17</v>
      </c>
      <c r="B852" s="781" t="s">
        <v>133</v>
      </c>
      <c r="C852" s="782"/>
      <c r="D852" s="782"/>
      <c r="E852" s="782"/>
      <c r="F852" s="783"/>
    </row>
    <row r="853" spans="1:6" ht="13.5" thickBot="1">
      <c r="A853" s="72">
        <v>210315</v>
      </c>
      <c r="B853" s="784" t="s">
        <v>74</v>
      </c>
      <c r="C853" s="784"/>
      <c r="D853" s="784"/>
      <c r="E853" s="73" t="s">
        <v>64</v>
      </c>
      <c r="F853" s="135">
        <f>C855</f>
        <v>2</v>
      </c>
    </row>
    <row r="854" spans="1:6">
      <c r="A854" s="133"/>
      <c r="B854" s="126" t="s">
        <v>83</v>
      </c>
      <c r="C854" s="113" t="s">
        <v>23</v>
      </c>
      <c r="D854" s="113"/>
      <c r="E854" s="113"/>
      <c r="F854" s="131"/>
    </row>
    <row r="855" spans="1:6" ht="13.5" thickBot="1">
      <c r="A855" s="133"/>
      <c r="B855" s="274" t="s">
        <v>326</v>
      </c>
      <c r="C855" s="113">
        <v>2</v>
      </c>
      <c r="D855" s="113"/>
      <c r="E855" s="113"/>
      <c r="F855" s="131"/>
    </row>
    <row r="856" spans="1:6" ht="13.5" thickBot="1">
      <c r="A856" s="72" t="s">
        <v>446</v>
      </c>
      <c r="B856" s="784" t="s">
        <v>445</v>
      </c>
      <c r="C856" s="784"/>
      <c r="D856" s="784"/>
      <c r="E856" s="73" t="s">
        <v>17</v>
      </c>
      <c r="F856" s="135">
        <f>C858</f>
        <v>19.100000000000001</v>
      </c>
    </row>
    <row r="857" spans="1:6">
      <c r="A857" s="133"/>
      <c r="B857" s="126" t="s">
        <v>83</v>
      </c>
      <c r="C857" s="113" t="s">
        <v>23</v>
      </c>
      <c r="D857" s="113"/>
      <c r="E857" s="113"/>
      <c r="F857" s="131"/>
    </row>
    <row r="858" spans="1:6" ht="13.5" thickBot="1">
      <c r="A858" s="134"/>
      <c r="B858" s="129" t="s">
        <v>447</v>
      </c>
      <c r="C858" s="129">
        <v>19.100000000000001</v>
      </c>
      <c r="D858" s="129"/>
      <c r="E858" s="129"/>
      <c r="F858" s="109"/>
    </row>
    <row r="859" spans="1:6" ht="27.75" customHeight="1" thickBot="1">
      <c r="A859" s="72" t="s">
        <v>583</v>
      </c>
      <c r="B859" s="784" t="s">
        <v>589</v>
      </c>
      <c r="C859" s="784"/>
      <c r="D859" s="784"/>
      <c r="E859" s="73" t="s">
        <v>64</v>
      </c>
      <c r="F859" s="135">
        <f>D861</f>
        <v>1</v>
      </c>
    </row>
    <row r="860" spans="1:6" ht="15" customHeight="1">
      <c r="A860" s="788" t="s">
        <v>83</v>
      </c>
      <c r="B860" s="789"/>
      <c r="C860" s="790"/>
      <c r="D860" s="113" t="s">
        <v>287</v>
      </c>
      <c r="E860" s="113"/>
      <c r="F860" s="113"/>
    </row>
    <row r="861" spans="1:6" ht="27" customHeight="1" thickBot="1">
      <c r="A861" s="785" t="s">
        <v>594</v>
      </c>
      <c r="B861" s="786"/>
      <c r="C861" s="787"/>
      <c r="D861" s="129">
        <v>1</v>
      </c>
      <c r="E861" s="129"/>
      <c r="F861" s="129"/>
    </row>
    <row r="862" spans="1:6" ht="13.5" thickBot="1">
      <c r="A862" s="71">
        <v>18</v>
      </c>
      <c r="B862" s="826" t="s">
        <v>12</v>
      </c>
      <c r="C862" s="782"/>
      <c r="D862" s="782"/>
      <c r="E862" s="782"/>
      <c r="F862" s="783"/>
    </row>
    <row r="863" spans="1:6" s="79" customFormat="1" ht="13.5" thickBot="1">
      <c r="A863" s="72">
        <v>9537</v>
      </c>
      <c r="B863" s="784" t="s">
        <v>193</v>
      </c>
      <c r="C863" s="784"/>
      <c r="D863" s="784"/>
      <c r="E863" s="73" t="s">
        <v>87</v>
      </c>
      <c r="F863" s="135">
        <f>E865</f>
        <v>1173.53</v>
      </c>
    </row>
    <row r="864" spans="1:6">
      <c r="A864" s="132"/>
      <c r="B864" s="126" t="s">
        <v>83</v>
      </c>
      <c r="C864" s="75" t="s">
        <v>84</v>
      </c>
      <c r="D864" s="82" t="s">
        <v>85</v>
      </c>
      <c r="E864" s="75" t="s">
        <v>13</v>
      </c>
      <c r="F864" s="293"/>
    </row>
    <row r="865" spans="1:6" ht="26.25" thickBot="1">
      <c r="A865" s="133"/>
      <c r="B865" s="366" t="s">
        <v>397</v>
      </c>
      <c r="C865" s="890" t="s">
        <v>104</v>
      </c>
      <c r="D865" s="891"/>
      <c r="E865" s="78">
        <v>1173.53</v>
      </c>
      <c r="F865" s="294"/>
    </row>
    <row r="866" spans="1:6" ht="26.25" customHeight="1" thickBot="1">
      <c r="A866" s="72" t="s">
        <v>192</v>
      </c>
      <c r="B866" s="784" t="s">
        <v>194</v>
      </c>
      <c r="C866" s="784"/>
      <c r="D866" s="784"/>
      <c r="E866" s="73" t="s">
        <v>17</v>
      </c>
      <c r="F866" s="135">
        <f>ROUNDDOWN(F868,2)</f>
        <v>4.3</v>
      </c>
    </row>
    <row r="867" spans="1:6">
      <c r="A867" s="132"/>
      <c r="B867" s="796" t="s">
        <v>83</v>
      </c>
      <c r="C867" s="797"/>
      <c r="D867" s="75" t="s">
        <v>23</v>
      </c>
      <c r="E867" s="75" t="s">
        <v>90</v>
      </c>
      <c r="F867" s="293" t="s">
        <v>13</v>
      </c>
    </row>
    <row r="868" spans="1:6" ht="15">
      <c r="A868" s="133"/>
      <c r="B868" s="930" t="s">
        <v>396</v>
      </c>
      <c r="C868" s="931"/>
      <c r="D868" s="78">
        <v>1</v>
      </c>
      <c r="E868" s="78">
        <v>4.3</v>
      </c>
      <c r="F868" s="142">
        <f>ROUNDDOWN(E868*D868,2)</f>
        <v>4.3</v>
      </c>
    </row>
    <row r="869" spans="1:6">
      <c r="A869" s="133"/>
      <c r="B869" s="126"/>
      <c r="C869" s="113"/>
      <c r="D869" s="113"/>
      <c r="E869" s="113"/>
      <c r="F869" s="131"/>
    </row>
    <row r="870" spans="1:6">
      <c r="A870" s="133"/>
      <c r="B870" s="113"/>
      <c r="C870" s="113"/>
      <c r="D870" s="113"/>
      <c r="E870" s="113"/>
      <c r="F870" s="131"/>
    </row>
    <row r="871" spans="1:6" ht="39" customHeight="1" thickBot="1">
      <c r="A871" s="911"/>
      <c r="B871" s="912"/>
      <c r="C871" s="912"/>
      <c r="D871" s="912"/>
      <c r="E871" s="912"/>
      <c r="F871" s="913"/>
    </row>
  </sheetData>
  <mergeCells count="475">
    <mergeCell ref="B494:D494"/>
    <mergeCell ref="B525:D525"/>
    <mergeCell ref="B495:D495"/>
    <mergeCell ref="B497:D497"/>
    <mergeCell ref="B498:D498"/>
    <mergeCell ref="B632:D632"/>
    <mergeCell ref="B508:D508"/>
    <mergeCell ref="B507:D507"/>
    <mergeCell ref="B509:D509"/>
    <mergeCell ref="B510:D510"/>
    <mergeCell ref="B511:D511"/>
    <mergeCell ref="B512:D512"/>
    <mergeCell ref="B500:D500"/>
    <mergeCell ref="B501:D501"/>
    <mergeCell ref="B517:F517"/>
    <mergeCell ref="B502:D502"/>
    <mergeCell ref="B503:D503"/>
    <mergeCell ref="B504:D504"/>
    <mergeCell ref="B505:D505"/>
    <mergeCell ref="B522:D522"/>
    <mergeCell ref="B529:D529"/>
    <mergeCell ref="B530:D530"/>
    <mergeCell ref="B526:D526"/>
    <mergeCell ref="B527:D527"/>
    <mergeCell ref="B851:D851"/>
    <mergeCell ref="A325:B325"/>
    <mergeCell ref="B95:D95"/>
    <mergeCell ref="B833:F833"/>
    <mergeCell ref="B834:D834"/>
    <mergeCell ref="B840:D840"/>
    <mergeCell ref="B843:D843"/>
    <mergeCell ref="B846:D846"/>
    <mergeCell ref="B849:D849"/>
    <mergeCell ref="B837:D837"/>
    <mergeCell ref="B836:C836"/>
    <mergeCell ref="B835:C835"/>
    <mergeCell ref="B839:C839"/>
    <mergeCell ref="B842:C842"/>
    <mergeCell ref="B848:D848"/>
    <mergeCell ref="A778:A779"/>
    <mergeCell ref="C769:D769"/>
    <mergeCell ref="B461:D461"/>
    <mergeCell ref="B462:D462"/>
    <mergeCell ref="C772:D772"/>
    <mergeCell ref="C796:D796"/>
    <mergeCell ref="A797:A808"/>
    <mergeCell ref="A776:A777"/>
    <mergeCell ref="A649:A652"/>
    <mergeCell ref="A698:A701"/>
    <mergeCell ref="B593:D593"/>
    <mergeCell ref="B588:D588"/>
    <mergeCell ref="B598:D598"/>
    <mergeCell ref="B590:D590"/>
    <mergeCell ref="B594:D594"/>
    <mergeCell ref="B487:D487"/>
    <mergeCell ref="B489:D489"/>
    <mergeCell ref="B491:D491"/>
    <mergeCell ref="B492:D492"/>
    <mergeCell ref="B493:D493"/>
    <mergeCell ref="A618:A631"/>
    <mergeCell ref="B613:C613"/>
    <mergeCell ref="B612:C612"/>
    <mergeCell ref="B603:D603"/>
    <mergeCell ref="B499:D499"/>
    <mergeCell ref="B488:D488"/>
    <mergeCell ref="A610:A614"/>
    <mergeCell ref="B506:D506"/>
    <mergeCell ref="B531:D531"/>
    <mergeCell ref="B532:D532"/>
    <mergeCell ref="B513:D513"/>
    <mergeCell ref="B514:D514"/>
    <mergeCell ref="B518:D518"/>
    <mergeCell ref="A828:A830"/>
    <mergeCell ref="C643:D643"/>
    <mergeCell ref="C701:D701"/>
    <mergeCell ref="C771:D771"/>
    <mergeCell ref="A751:A753"/>
    <mergeCell ref="A754:A765"/>
    <mergeCell ref="C763:D763"/>
    <mergeCell ref="C765:D765"/>
    <mergeCell ref="A702:A703"/>
    <mergeCell ref="C702:D702"/>
    <mergeCell ref="C703:D703"/>
    <mergeCell ref="A771:A772"/>
    <mergeCell ref="A788:A796"/>
    <mergeCell ref="B788:B790"/>
    <mergeCell ref="B774:D774"/>
    <mergeCell ref="C808:D808"/>
    <mergeCell ref="A810:A813"/>
    <mergeCell ref="C812:D812"/>
    <mergeCell ref="C813:D813"/>
    <mergeCell ref="B742:B744"/>
    <mergeCell ref="B746:B749"/>
    <mergeCell ref="C750:D750"/>
    <mergeCell ref="C738:D738"/>
    <mergeCell ref="A711:A714"/>
    <mergeCell ref="A37:B37"/>
    <mergeCell ref="A38:B38"/>
    <mergeCell ref="A39:B39"/>
    <mergeCell ref="B118:C118"/>
    <mergeCell ref="B119:C119"/>
    <mergeCell ref="B55:D55"/>
    <mergeCell ref="B52:D52"/>
    <mergeCell ref="B87:D87"/>
    <mergeCell ref="B180:D180"/>
    <mergeCell ref="B47:D47"/>
    <mergeCell ref="B43:D43"/>
    <mergeCell ref="C72:D72"/>
    <mergeCell ref="C71:D71"/>
    <mergeCell ref="A48:B48"/>
    <mergeCell ref="A49:B49"/>
    <mergeCell ref="A50:B50"/>
    <mergeCell ref="A51:B51"/>
    <mergeCell ref="A82:B82"/>
    <mergeCell ref="B61:D61"/>
    <mergeCell ref="B67:D67"/>
    <mergeCell ref="B108:D108"/>
    <mergeCell ref="B98:F98"/>
    <mergeCell ref="B83:D83"/>
    <mergeCell ref="A84:B84"/>
    <mergeCell ref="A425:A426"/>
    <mergeCell ref="A31:B31"/>
    <mergeCell ref="A32:B32"/>
    <mergeCell ref="A33:B33"/>
    <mergeCell ref="B131:D131"/>
    <mergeCell ref="B137:D137"/>
    <mergeCell ref="A338:A340"/>
    <mergeCell ref="A352:B352"/>
    <mergeCell ref="C330:D330"/>
    <mergeCell ref="A311:A312"/>
    <mergeCell ref="B213:D213"/>
    <mergeCell ref="A272:A273"/>
    <mergeCell ref="A274:A275"/>
    <mergeCell ref="A276:A277"/>
    <mergeCell ref="A278:A279"/>
    <mergeCell ref="B281:D281"/>
    <mergeCell ref="B284:D284"/>
    <mergeCell ref="A247:A249"/>
    <mergeCell ref="B217:D217"/>
    <mergeCell ref="B220:D220"/>
    <mergeCell ref="B223:D223"/>
    <mergeCell ref="B226:D226"/>
    <mergeCell ref="B168:D168"/>
    <mergeCell ref="A34:B34"/>
    <mergeCell ref="B486:D486"/>
    <mergeCell ref="B479:D479"/>
    <mergeCell ref="B480:D480"/>
    <mergeCell ref="C396:D396"/>
    <mergeCell ref="C403:D403"/>
    <mergeCell ref="B467:D467"/>
    <mergeCell ref="C401:D401"/>
    <mergeCell ref="B416:D416"/>
    <mergeCell ref="B409:D409"/>
    <mergeCell ref="B413:D413"/>
    <mergeCell ref="B406:D406"/>
    <mergeCell ref="B485:D485"/>
    <mergeCell ref="B469:D469"/>
    <mergeCell ref="B473:D473"/>
    <mergeCell ref="B470:D470"/>
    <mergeCell ref="B423:D423"/>
    <mergeCell ref="B456:F456"/>
    <mergeCell ref="B483:D483"/>
    <mergeCell ref="B484:D484"/>
    <mergeCell ref="B482:D482"/>
    <mergeCell ref="E1:F1"/>
    <mergeCell ref="B161:F161"/>
    <mergeCell ref="B162:D162"/>
    <mergeCell ref="A17:A18"/>
    <mergeCell ref="B1:D1"/>
    <mergeCell ref="A5:F5"/>
    <mergeCell ref="A6:F6"/>
    <mergeCell ref="A2:D3"/>
    <mergeCell ref="B7:D7"/>
    <mergeCell ref="B8:F8"/>
    <mergeCell ref="E2:F2"/>
    <mergeCell ref="E3:F3"/>
    <mergeCell ref="B9:D9"/>
    <mergeCell ref="A4:D4"/>
    <mergeCell ref="E4:F4"/>
    <mergeCell ref="B12:D12"/>
    <mergeCell ref="B40:D40"/>
    <mergeCell ref="B73:D73"/>
    <mergeCell ref="A22:A23"/>
    <mergeCell ref="A24:A25"/>
    <mergeCell ref="A26:A27"/>
    <mergeCell ref="A28:A29"/>
    <mergeCell ref="A35:B35"/>
    <mergeCell ref="A36:B36"/>
    <mergeCell ref="B153:F153"/>
    <mergeCell ref="B109:F109"/>
    <mergeCell ref="A101:B101"/>
    <mergeCell ref="A102:B102"/>
    <mergeCell ref="A74:B74"/>
    <mergeCell ref="C310:D310"/>
    <mergeCell ref="C311:D311"/>
    <mergeCell ref="A342:A345"/>
    <mergeCell ref="C312:D312"/>
    <mergeCell ref="B288:D288"/>
    <mergeCell ref="B322:D322"/>
    <mergeCell ref="B145:D145"/>
    <mergeCell ref="B186:D186"/>
    <mergeCell ref="A75:B75"/>
    <mergeCell ref="C75:D75"/>
    <mergeCell ref="B91:D91"/>
    <mergeCell ref="A76:B76"/>
    <mergeCell ref="C76:D76"/>
    <mergeCell ref="A77:B77"/>
    <mergeCell ref="A78:B78"/>
    <mergeCell ref="A79:B79"/>
    <mergeCell ref="A80:B80"/>
    <mergeCell ref="A81:B81"/>
    <mergeCell ref="B154:D154"/>
    <mergeCell ref="A434:A435"/>
    <mergeCell ref="A436:A437"/>
    <mergeCell ref="A438:A439"/>
    <mergeCell ref="A440:A441"/>
    <mergeCell ref="C354:D354"/>
    <mergeCell ref="B376:D376"/>
    <mergeCell ref="B868:C868"/>
    <mergeCell ref="B471:D471"/>
    <mergeCell ref="B519:D519"/>
    <mergeCell ref="C634:D634"/>
    <mergeCell ref="B468:D468"/>
    <mergeCell ref="B399:D399"/>
    <mergeCell ref="B443:D443"/>
    <mergeCell ref="B862:F862"/>
    <mergeCell ref="B591:D591"/>
    <mergeCell ref="B592:D592"/>
    <mergeCell ref="B523:D523"/>
    <mergeCell ref="B524:D524"/>
    <mergeCell ref="B616:D616"/>
    <mergeCell ref="B600:D600"/>
    <mergeCell ref="B601:D601"/>
    <mergeCell ref="B602:D602"/>
    <mergeCell ref="B378:C378"/>
    <mergeCell ref="B358:D358"/>
    <mergeCell ref="B521:D521"/>
    <mergeCell ref="B520:D520"/>
    <mergeCell ref="B515:D515"/>
    <mergeCell ref="B516:D516"/>
    <mergeCell ref="B537:D537"/>
    <mergeCell ref="B533:D533"/>
    <mergeCell ref="B534:D534"/>
    <mergeCell ref="B535:D535"/>
    <mergeCell ref="B536:D536"/>
    <mergeCell ref="B190:F190"/>
    <mergeCell ref="B191:D191"/>
    <mergeCell ref="B193:D193"/>
    <mergeCell ref="B41:C41"/>
    <mergeCell ref="B42:C42"/>
    <mergeCell ref="C32:D32"/>
    <mergeCell ref="C33:D33"/>
    <mergeCell ref="B528:D528"/>
    <mergeCell ref="B388:D388"/>
    <mergeCell ref="B472:D472"/>
    <mergeCell ref="A323:B323"/>
    <mergeCell ref="A324:B324"/>
    <mergeCell ref="B206:D206"/>
    <mergeCell ref="B208:D208"/>
    <mergeCell ref="B210:D210"/>
    <mergeCell ref="C233:D233"/>
    <mergeCell ref="C339:D339"/>
    <mergeCell ref="C245:D245"/>
    <mergeCell ref="B264:D264"/>
    <mergeCell ref="B335:F335"/>
    <mergeCell ref="B336:D336"/>
    <mergeCell ref="B293:F293"/>
    <mergeCell ref="B197:D197"/>
    <mergeCell ref="B258:F258"/>
    <mergeCell ref="A871:F871"/>
    <mergeCell ref="B457:D457"/>
    <mergeCell ref="B458:D458"/>
    <mergeCell ref="B459:D459"/>
    <mergeCell ref="B463:D463"/>
    <mergeCell ref="B465:D465"/>
    <mergeCell ref="B460:D460"/>
    <mergeCell ref="B464:D464"/>
    <mergeCell ref="B466:D466"/>
    <mergeCell ref="B607:F607"/>
    <mergeCell ref="C651:D651"/>
    <mergeCell ref="B604:D604"/>
    <mergeCell ref="B595:D595"/>
    <mergeCell ref="B597:D597"/>
    <mergeCell ref="B599:D599"/>
    <mergeCell ref="C865:D865"/>
    <mergeCell ref="B863:D863"/>
    <mergeCell ref="B866:D866"/>
    <mergeCell ref="B610:C610"/>
    <mergeCell ref="C694:D694"/>
    <mergeCell ref="B826:D826"/>
    <mergeCell ref="B490:D490"/>
    <mergeCell ref="B474:D474"/>
    <mergeCell ref="B867:C867"/>
    <mergeCell ref="B562:D562"/>
    <mergeCell ref="B563:D563"/>
    <mergeCell ref="B572:D572"/>
    <mergeCell ref="B573:D573"/>
    <mergeCell ref="B570:D570"/>
    <mergeCell ref="B567:D567"/>
    <mergeCell ref="B568:D568"/>
    <mergeCell ref="B569:D569"/>
    <mergeCell ref="B538:D538"/>
    <mergeCell ref="B539:D539"/>
    <mergeCell ref="B540:D540"/>
    <mergeCell ref="B541:D541"/>
    <mergeCell ref="B542:D542"/>
    <mergeCell ref="B554:D554"/>
    <mergeCell ref="B555:D555"/>
    <mergeCell ref="B550:D550"/>
    <mergeCell ref="B551:D551"/>
    <mergeCell ref="B552:D552"/>
    <mergeCell ref="B553:D553"/>
    <mergeCell ref="B547:D547"/>
    <mergeCell ref="B548:D548"/>
    <mergeCell ref="B549:D549"/>
    <mergeCell ref="C232:D232"/>
    <mergeCell ref="C394:D394"/>
    <mergeCell ref="A353:B353"/>
    <mergeCell ref="A239:A240"/>
    <mergeCell ref="C363:D363"/>
    <mergeCell ref="C368:D368"/>
    <mergeCell ref="A347:A349"/>
    <mergeCell ref="B257:D257"/>
    <mergeCell ref="A241:A242"/>
    <mergeCell ref="A243:B243"/>
    <mergeCell ref="A244:B244"/>
    <mergeCell ref="C340:D340"/>
    <mergeCell ref="A682:A684"/>
    <mergeCell ref="B615:C615"/>
    <mergeCell ref="B609:C609"/>
    <mergeCell ref="B580:D580"/>
    <mergeCell ref="B589:D589"/>
    <mergeCell ref="B581:D581"/>
    <mergeCell ref="B585:D585"/>
    <mergeCell ref="B586:D586"/>
    <mergeCell ref="C641:D641"/>
    <mergeCell ref="B647:D647"/>
    <mergeCell ref="B661:D661"/>
    <mergeCell ref="C640:D640"/>
    <mergeCell ref="B587:D587"/>
    <mergeCell ref="B677:B680"/>
    <mergeCell ref="A653:A656"/>
    <mergeCell ref="B614:C614"/>
    <mergeCell ref="B605:D605"/>
    <mergeCell ref="B596:D596"/>
    <mergeCell ref="A657:A658"/>
    <mergeCell ref="A659:A660"/>
    <mergeCell ref="A663:A665"/>
    <mergeCell ref="A667:A669"/>
    <mergeCell ref="B705:D705"/>
    <mergeCell ref="B606:D606"/>
    <mergeCell ref="B611:C611"/>
    <mergeCell ref="B673:B675"/>
    <mergeCell ref="C664:D664"/>
    <mergeCell ref="B582:D582"/>
    <mergeCell ref="B608:D608"/>
    <mergeCell ref="C698:D698"/>
    <mergeCell ref="C699:D699"/>
    <mergeCell ref="C700:D700"/>
    <mergeCell ref="C650:D650"/>
    <mergeCell ref="C696:D696"/>
    <mergeCell ref="B584:F584"/>
    <mergeCell ref="C645:D645"/>
    <mergeCell ref="C665:D665"/>
    <mergeCell ref="C669:D669"/>
    <mergeCell ref="B814:D814"/>
    <mergeCell ref="A767:A770"/>
    <mergeCell ref="C767:D767"/>
    <mergeCell ref="C768:D768"/>
    <mergeCell ref="A719:A722"/>
    <mergeCell ref="B792:B795"/>
    <mergeCell ref="A732:A734"/>
    <mergeCell ref="C733:D733"/>
    <mergeCell ref="A742:A750"/>
    <mergeCell ref="A736:A738"/>
    <mergeCell ref="C806:D806"/>
    <mergeCell ref="C770:D770"/>
    <mergeCell ref="C734:D734"/>
    <mergeCell ref="B730:D730"/>
    <mergeCell ref="A707:A710"/>
    <mergeCell ref="C708:D708"/>
    <mergeCell ref="A715:A718"/>
    <mergeCell ref="C709:D709"/>
    <mergeCell ref="A685:A696"/>
    <mergeCell ref="C681:D681"/>
    <mergeCell ref="B544:D544"/>
    <mergeCell ref="B545:D545"/>
    <mergeCell ref="B546:D546"/>
    <mergeCell ref="B556:D556"/>
    <mergeCell ref="B557:D557"/>
    <mergeCell ref="B558:D558"/>
    <mergeCell ref="B559:D559"/>
    <mergeCell ref="B560:D560"/>
    <mergeCell ref="B583:D583"/>
    <mergeCell ref="B579:D579"/>
    <mergeCell ref="B574:D574"/>
    <mergeCell ref="B578:D578"/>
    <mergeCell ref="B577:D577"/>
    <mergeCell ref="B571:D571"/>
    <mergeCell ref="B575:D575"/>
    <mergeCell ref="B564:D564"/>
    <mergeCell ref="B565:D565"/>
    <mergeCell ref="B566:D566"/>
    <mergeCell ref="G120:K120"/>
    <mergeCell ref="G121:K121"/>
    <mergeCell ref="B122:F122"/>
    <mergeCell ref="H123:K123"/>
    <mergeCell ref="H122:K122"/>
    <mergeCell ref="B475:D475"/>
    <mergeCell ref="B476:D476"/>
    <mergeCell ref="B477:D477"/>
    <mergeCell ref="B478:D478"/>
    <mergeCell ref="B326:F326"/>
    <mergeCell ref="B327:D327"/>
    <mergeCell ref="A350:B351"/>
    <mergeCell ref="B309:D309"/>
    <mergeCell ref="A235:A238"/>
    <mergeCell ref="B299:D299"/>
    <mergeCell ref="B294:D294"/>
    <mergeCell ref="A266:A267"/>
    <mergeCell ref="B250:D250"/>
    <mergeCell ref="B380:D380"/>
    <mergeCell ref="B379:F379"/>
    <mergeCell ref="B385:D385"/>
    <mergeCell ref="B366:D366"/>
    <mergeCell ref="A231:A233"/>
    <mergeCell ref="B254:F254"/>
    <mergeCell ref="A85:B85"/>
    <mergeCell ref="A86:B86"/>
    <mergeCell ref="C298:D298"/>
    <mergeCell ref="B313:D313"/>
    <mergeCell ref="B105:D105"/>
    <mergeCell ref="B106:D106"/>
    <mergeCell ref="B107:D107"/>
    <mergeCell ref="B259:D259"/>
    <mergeCell ref="B110:D110"/>
    <mergeCell ref="B117:C117"/>
    <mergeCell ref="B229:D229"/>
    <mergeCell ref="B203:D203"/>
    <mergeCell ref="B120:F120"/>
    <mergeCell ref="B121:F121"/>
    <mergeCell ref="B200:D200"/>
    <mergeCell ref="A103:B103"/>
    <mergeCell ref="A100:D100"/>
    <mergeCell ref="B160:F160"/>
    <mergeCell ref="B174:D174"/>
    <mergeCell ref="B99:D99"/>
    <mergeCell ref="B116:D116"/>
    <mergeCell ref="B255:D255"/>
    <mergeCell ref="B261:D261"/>
    <mergeCell ref="B263:F263"/>
    <mergeCell ref="B852:F852"/>
    <mergeCell ref="B853:D853"/>
    <mergeCell ref="B856:D856"/>
    <mergeCell ref="B859:D859"/>
    <mergeCell ref="A861:C861"/>
    <mergeCell ref="A860:C860"/>
    <mergeCell ref="A317:B317"/>
    <mergeCell ref="A318:B318"/>
    <mergeCell ref="C303:D303"/>
    <mergeCell ref="A304:B304"/>
    <mergeCell ref="A305:B305"/>
    <mergeCell ref="A306:B306"/>
    <mergeCell ref="A307:B307"/>
    <mergeCell ref="A316:B316"/>
    <mergeCell ref="A314:B314"/>
    <mergeCell ref="B319:D319"/>
    <mergeCell ref="A315:B315"/>
    <mergeCell ref="A356:A357"/>
    <mergeCell ref="A364:A365"/>
    <mergeCell ref="B369:D369"/>
    <mergeCell ref="B576:D576"/>
    <mergeCell ref="A673:A681"/>
    <mergeCell ref="B561:D561"/>
    <mergeCell ref="B543:D543"/>
  </mergeCells>
  <printOptions horizontalCentered="1"/>
  <pageMargins left="0.51181102362204722" right="0.31496062992125984" top="0.39370078740157483" bottom="0.59055118110236227" header="0.31496062992125984" footer="0.31496062992125984"/>
  <pageSetup paperSize="9" scale="93" fitToHeight="19" orientation="portrait" r:id="rId1"/>
  <headerFooter>
    <oddFooter>&amp;LSMOIT-DE&amp;RPágina &amp;P de &amp;N</oddFooter>
  </headerFooter>
  <colBreaks count="1" manualBreakCount="1">
    <brk id="7" max="834" man="1"/>
  </colBreaks>
  <drawing r:id="rId2"/>
  <legacyDrawing r:id="rId3"/>
  <oleObjects>
    <mc:AlternateContent xmlns:mc="http://schemas.openxmlformats.org/markup-compatibility/2006">
      <mc:Choice Requires="x14">
        <oleObject shapeId="7169" r:id="rId4">
          <objectPr defaultSize="0" autoPict="0" r:id="rId5">
            <anchor moveWithCells="1" sizeWithCells="1">
              <from>
                <xdr:col>0</xdr:col>
                <xdr:colOff>161925</xdr:colOff>
                <xdr:row>0</xdr:row>
                <xdr:rowOff>57150</xdr:rowOff>
              </from>
              <to>
                <xdr:col>0</xdr:col>
                <xdr:colOff>800100</xdr:colOff>
                <xdr:row>0</xdr:row>
                <xdr:rowOff>714375</xdr:rowOff>
              </to>
            </anchor>
          </objectPr>
        </oleObject>
      </mc:Choice>
      <mc:Fallback>
        <oleObject shapeId="716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zoomScaleSheetLayoutView="100" workbookViewId="0">
      <selection activeCell="G1" sqref="G1:I1"/>
    </sheetView>
  </sheetViews>
  <sheetFormatPr defaultRowHeight="12.75"/>
  <cols>
    <col min="1" max="1" width="33.42578125" style="160" customWidth="1"/>
    <col min="2" max="2" width="7.85546875" style="160" bestFit="1" customWidth="1"/>
    <col min="3" max="3" width="6.28515625" style="202" bestFit="1" customWidth="1"/>
    <col min="4" max="4" width="8.5703125" style="160" bestFit="1" customWidth="1"/>
    <col min="5" max="5" width="7" style="160" bestFit="1" customWidth="1"/>
    <col min="6" max="6" width="7.7109375" style="203" bestFit="1" customWidth="1"/>
    <col min="7" max="7" width="9.140625" style="160"/>
    <col min="8" max="8" width="9.140625" style="203"/>
    <col min="9" max="16384" width="9.140625" style="160"/>
  </cols>
  <sheetData>
    <row r="1" spans="1:9" ht="90.6" customHeight="1" thickBot="1">
      <c r="A1" s="1023" t="s">
        <v>266</v>
      </c>
      <c r="B1" s="1024"/>
      <c r="C1" s="1024"/>
      <c r="D1" s="1024"/>
      <c r="E1" s="1024"/>
      <c r="F1" s="1025"/>
      <c r="G1" s="1026"/>
      <c r="H1" s="1026"/>
      <c r="I1" s="1027"/>
    </row>
    <row r="2" spans="1:9" ht="27" customHeight="1" thickBot="1">
      <c r="A2" s="295" t="s">
        <v>581</v>
      </c>
      <c r="B2" s="209" t="s">
        <v>228</v>
      </c>
      <c r="C2" s="1018" t="s">
        <v>225</v>
      </c>
      <c r="D2" s="1019"/>
      <c r="E2" s="1019"/>
      <c r="F2" s="1019"/>
      <c r="G2" s="1019"/>
      <c r="H2" s="1019"/>
      <c r="I2" s="1020"/>
    </row>
    <row r="3" spans="1:9">
      <c r="A3" s="296"/>
      <c r="B3" s="161"/>
      <c r="C3" s="162"/>
      <c r="D3" s="161"/>
      <c r="E3" s="161"/>
      <c r="F3" s="163"/>
      <c r="G3" s="164"/>
      <c r="H3" s="163"/>
      <c r="I3" s="297"/>
    </row>
    <row r="4" spans="1:9">
      <c r="A4" s="298" t="s">
        <v>135</v>
      </c>
      <c r="B4" s="165" t="s">
        <v>136</v>
      </c>
      <c r="C4" s="166" t="s">
        <v>137</v>
      </c>
      <c r="D4" s="165" t="s">
        <v>138</v>
      </c>
      <c r="E4" s="165" t="s">
        <v>139</v>
      </c>
      <c r="F4" s="167" t="s">
        <v>140</v>
      </c>
      <c r="G4" s="168" t="s">
        <v>141</v>
      </c>
      <c r="H4" s="167" t="s">
        <v>142</v>
      </c>
      <c r="I4" s="299" t="s">
        <v>117</v>
      </c>
    </row>
    <row r="5" spans="1:9">
      <c r="A5" s="300" t="s">
        <v>118</v>
      </c>
      <c r="B5" s="169"/>
      <c r="C5" s="170"/>
      <c r="D5" s="171"/>
      <c r="E5" s="171"/>
      <c r="F5" s="172"/>
      <c r="G5" s="171"/>
      <c r="H5" s="172"/>
      <c r="I5" s="301"/>
    </row>
    <row r="6" spans="1:9" ht="36">
      <c r="A6" s="302" t="s">
        <v>220</v>
      </c>
      <c r="B6" s="169" t="s">
        <v>119</v>
      </c>
      <c r="C6" s="173" t="s">
        <v>221</v>
      </c>
      <c r="D6" s="174">
        <v>0.65</v>
      </c>
      <c r="E6" s="175">
        <v>1</v>
      </c>
      <c r="F6" s="176">
        <v>11.42</v>
      </c>
      <c r="G6" s="177">
        <v>0</v>
      </c>
      <c r="H6" s="176">
        <f>F6</f>
        <v>11.42</v>
      </c>
      <c r="I6" s="178">
        <f>F6*D6</f>
        <v>7.423</v>
      </c>
    </row>
    <row r="7" spans="1:9" ht="24">
      <c r="A7" s="179" t="s">
        <v>219</v>
      </c>
      <c r="B7" s="180" t="s">
        <v>119</v>
      </c>
      <c r="C7" s="180" t="s">
        <v>222</v>
      </c>
      <c r="D7" s="174">
        <v>0.65</v>
      </c>
      <c r="E7" s="175">
        <v>1</v>
      </c>
      <c r="F7" s="176">
        <v>13.84</v>
      </c>
      <c r="G7" s="175">
        <v>0</v>
      </c>
      <c r="H7" s="176">
        <f>F7</f>
        <v>13.84</v>
      </c>
      <c r="I7" s="178">
        <f>F7*D7</f>
        <v>8.9960000000000004</v>
      </c>
    </row>
    <row r="8" spans="1:9" ht="15">
      <c r="A8" s="181" t="s">
        <v>143</v>
      </c>
      <c r="B8" s="182"/>
      <c r="C8" s="177"/>
      <c r="D8" s="182"/>
      <c r="E8" s="182"/>
      <c r="F8" s="183"/>
      <c r="G8" s="1028" t="s">
        <v>120</v>
      </c>
      <c r="H8" s="1028"/>
      <c r="I8" s="185">
        <f>SUM(I6:I7)</f>
        <v>16.419</v>
      </c>
    </row>
    <row r="9" spans="1:9" ht="15">
      <c r="A9" s="220" t="s">
        <v>121</v>
      </c>
      <c r="B9" s="218"/>
      <c r="C9" s="218"/>
      <c r="D9" s="219"/>
      <c r="E9" s="219"/>
      <c r="F9" s="219"/>
      <c r="G9" s="219"/>
      <c r="H9" s="219"/>
      <c r="I9" s="219"/>
    </row>
    <row r="10" spans="1:9" ht="36">
      <c r="A10" s="225" t="s">
        <v>225</v>
      </c>
      <c r="B10" s="184" t="s">
        <v>224</v>
      </c>
      <c r="C10" s="173" t="s">
        <v>226</v>
      </c>
      <c r="D10" s="183">
        <v>1</v>
      </c>
      <c r="E10" s="182">
        <v>1</v>
      </c>
      <c r="F10" s="183">
        <v>72.23</v>
      </c>
      <c r="G10" s="177">
        <v>0</v>
      </c>
      <c r="H10" s="183">
        <f>F10</f>
        <v>72.23</v>
      </c>
      <c r="I10" s="183">
        <f>H10*D10</f>
        <v>72.23</v>
      </c>
    </row>
    <row r="11" spans="1:9" ht="15">
      <c r="A11" s="224"/>
      <c r="B11" s="182"/>
      <c r="C11" s="177"/>
      <c r="D11" s="182"/>
      <c r="E11" s="182"/>
      <c r="F11" s="183"/>
      <c r="G11" s="1028" t="s">
        <v>120</v>
      </c>
      <c r="H11" s="1028"/>
      <c r="I11" s="185">
        <f>SUM(I9:I10)</f>
        <v>72.23</v>
      </c>
    </row>
    <row r="12" spans="1:9">
      <c r="A12" s="224"/>
      <c r="B12" s="182"/>
      <c r="C12" s="177"/>
      <c r="D12" s="182"/>
      <c r="E12" s="182"/>
      <c r="F12" s="183"/>
      <c r="G12" s="184"/>
      <c r="H12" s="183"/>
      <c r="I12" s="183"/>
    </row>
    <row r="13" spans="1:9">
      <c r="A13" s="298" t="s">
        <v>157</v>
      </c>
      <c r="B13" s="186"/>
      <c r="C13" s="187"/>
      <c r="D13" s="186"/>
      <c r="E13" s="186"/>
      <c r="F13" s="167"/>
      <c r="G13" s="188"/>
      <c r="H13" s="167" t="s">
        <v>123</v>
      </c>
      <c r="I13" s="299" t="s">
        <v>124</v>
      </c>
    </row>
    <row r="14" spans="1:9">
      <c r="A14" s="303" t="s">
        <v>122</v>
      </c>
      <c r="B14" s="189"/>
      <c r="C14" s="190"/>
      <c r="D14" s="189"/>
      <c r="E14" s="189"/>
      <c r="F14" s="191"/>
      <c r="G14" s="192"/>
      <c r="H14" s="191"/>
      <c r="I14" s="304"/>
    </row>
    <row r="15" spans="1:9">
      <c r="A15" s="305" t="s">
        <v>144</v>
      </c>
      <c r="B15" s="193"/>
      <c r="C15" s="190"/>
      <c r="D15" s="189"/>
      <c r="E15" s="189"/>
      <c r="F15" s="191"/>
      <c r="G15" s="192"/>
      <c r="H15" s="183">
        <v>134.87</v>
      </c>
      <c r="I15" s="304">
        <f>I8</f>
        <v>16.419</v>
      </c>
    </row>
    <row r="16" spans="1:9">
      <c r="A16" s="305" t="s">
        <v>125</v>
      </c>
      <c r="B16" s="193"/>
      <c r="C16" s="190"/>
      <c r="D16" s="189"/>
      <c r="E16" s="189"/>
      <c r="F16" s="191"/>
      <c r="G16" s="192"/>
      <c r="H16" s="191"/>
      <c r="I16" s="304">
        <f>I10</f>
        <v>72.23</v>
      </c>
    </row>
    <row r="17" spans="1:9">
      <c r="A17" s="305" t="s">
        <v>126</v>
      </c>
      <c r="B17" s="193"/>
      <c r="C17" s="190"/>
      <c r="D17" s="189"/>
      <c r="E17" s="189"/>
      <c r="F17" s="191"/>
      <c r="G17" s="192"/>
      <c r="H17" s="191"/>
      <c r="I17" s="304">
        <v>0</v>
      </c>
    </row>
    <row r="18" spans="1:9">
      <c r="A18" s="305" t="s">
        <v>127</v>
      </c>
      <c r="B18" s="193"/>
      <c r="C18" s="190"/>
      <c r="D18" s="189"/>
      <c r="E18" s="189"/>
      <c r="F18" s="191"/>
      <c r="G18" s="192"/>
      <c r="H18" s="191"/>
      <c r="I18" s="304">
        <v>1</v>
      </c>
    </row>
    <row r="19" spans="1:9">
      <c r="A19" s="305" t="s">
        <v>128</v>
      </c>
      <c r="B19" s="193"/>
      <c r="C19" s="190"/>
      <c r="D19" s="189"/>
      <c r="E19" s="189"/>
      <c r="F19" s="191"/>
      <c r="G19" s="192"/>
      <c r="H19" s="191"/>
      <c r="I19" s="304">
        <f>I15+I17</f>
        <v>16.419</v>
      </c>
    </row>
    <row r="20" spans="1:9">
      <c r="A20" s="1021" t="s">
        <v>129</v>
      </c>
      <c r="B20" s="1022"/>
      <c r="C20" s="190"/>
      <c r="D20" s="189"/>
      <c r="E20" s="189"/>
      <c r="F20" s="191"/>
      <c r="G20" s="192"/>
      <c r="H20" s="191"/>
      <c r="I20" s="304">
        <f>SUM(I15+I17)/I18</f>
        <v>16.419</v>
      </c>
    </row>
    <row r="21" spans="1:9">
      <c r="A21" s="305" t="s">
        <v>130</v>
      </c>
      <c r="B21" s="193"/>
      <c r="C21" s="190"/>
      <c r="D21" s="189"/>
      <c r="E21" s="189"/>
      <c r="F21" s="191"/>
      <c r="G21" s="192"/>
      <c r="H21" s="191"/>
      <c r="I21" s="304">
        <f>I20+I16</f>
        <v>88.649000000000001</v>
      </c>
    </row>
    <row r="22" spans="1:9" ht="13.5" thickBot="1">
      <c r="A22" s="306" t="s">
        <v>131</v>
      </c>
      <c r="B22" s="194"/>
      <c r="C22" s="195"/>
      <c r="D22" s="194"/>
      <c r="E22" s="194"/>
      <c r="F22" s="196"/>
      <c r="G22" s="197"/>
      <c r="H22" s="196"/>
      <c r="I22" s="307">
        <f>SUM(I16,I8)</f>
        <v>88.649000000000001</v>
      </c>
    </row>
    <row r="23" spans="1:9">
      <c r="A23" s="296"/>
      <c r="B23" s="161"/>
      <c r="C23" s="162"/>
      <c r="D23" s="161"/>
      <c r="E23" s="161"/>
      <c r="F23" s="163"/>
      <c r="G23" s="164"/>
      <c r="H23" s="163"/>
      <c r="I23" s="297"/>
    </row>
    <row r="24" spans="1:9">
      <c r="A24" s="313" t="s">
        <v>145</v>
      </c>
      <c r="B24" s="161"/>
      <c r="C24" s="162"/>
      <c r="D24" s="161"/>
      <c r="E24" s="161"/>
      <c r="F24" s="163"/>
      <c r="G24" s="164"/>
      <c r="H24" s="163"/>
      <c r="I24" s="297"/>
    </row>
    <row r="25" spans="1:9">
      <c r="A25" s="314" t="s">
        <v>227</v>
      </c>
      <c r="B25" s="308"/>
      <c r="C25" s="309"/>
      <c r="D25" s="308"/>
      <c r="E25" s="308"/>
      <c r="F25" s="310"/>
      <c r="G25" s="311"/>
      <c r="H25" s="310"/>
      <c r="I25" s="312"/>
    </row>
    <row r="26" spans="1:9">
      <c r="A26" s="198"/>
      <c r="B26" s="198"/>
      <c r="C26" s="199"/>
      <c r="D26" s="198"/>
      <c r="E26" s="198"/>
      <c r="F26" s="200"/>
      <c r="G26" s="201"/>
      <c r="H26" s="200"/>
      <c r="I26" s="200"/>
    </row>
    <row r="27" spans="1:9">
      <c r="A27" s="198"/>
      <c r="B27" s="198"/>
      <c r="C27" s="199"/>
      <c r="D27" s="198"/>
      <c r="E27" s="198"/>
      <c r="F27" s="200"/>
      <c r="G27" s="201"/>
      <c r="H27" s="200"/>
      <c r="I27" s="200"/>
    </row>
    <row r="28" spans="1:9">
      <c r="A28" s="198"/>
      <c r="B28" s="198"/>
      <c r="C28" s="199"/>
      <c r="D28" s="198"/>
      <c r="E28" s="198"/>
      <c r="F28" s="200"/>
      <c r="G28" s="201"/>
      <c r="H28" s="200"/>
      <c r="I28" s="200"/>
    </row>
    <row r="29" spans="1:9">
      <c r="A29" s="198"/>
      <c r="B29" s="198"/>
      <c r="C29" s="199"/>
      <c r="D29" s="198"/>
      <c r="E29" s="198"/>
      <c r="F29" s="200"/>
      <c r="G29" s="201"/>
      <c r="H29" s="200"/>
      <c r="I29" s="200"/>
    </row>
    <row r="30" spans="1:9">
      <c r="A30" s="198"/>
      <c r="B30" s="198"/>
      <c r="C30" s="199"/>
      <c r="D30" s="198"/>
      <c r="E30" s="198"/>
      <c r="F30" s="200"/>
      <c r="G30" s="201"/>
      <c r="H30" s="200"/>
      <c r="I30" s="200"/>
    </row>
    <row r="31" spans="1:9">
      <c r="A31" s="198"/>
      <c r="B31" s="198"/>
      <c r="C31" s="199"/>
      <c r="D31" s="198"/>
      <c r="E31" s="198"/>
      <c r="F31" s="200"/>
      <c r="G31" s="201"/>
      <c r="H31" s="200"/>
      <c r="I31" s="200"/>
    </row>
  </sheetData>
  <mergeCells count="6">
    <mergeCell ref="C2:I2"/>
    <mergeCell ref="A20:B20"/>
    <mergeCell ref="A1:F1"/>
    <mergeCell ref="G1:I1"/>
    <mergeCell ref="G8:H8"/>
    <mergeCell ref="G11:H11"/>
  </mergeCells>
  <pageMargins left="0.51181102362204722" right="0.51181102362204722" top="0.78740157480314965" bottom="0.78740157480314965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shapeId="10338" r:id="rId4">
          <objectPr defaultSize="0" autoPict="0" r:id="rId5">
            <anchor moveWithCells="1" sizeWithCells="1">
              <from>
                <xdr:col>6</xdr:col>
                <xdr:colOff>447675</xdr:colOff>
                <xdr:row>0</xdr:row>
                <xdr:rowOff>104775</xdr:rowOff>
              </from>
              <to>
                <xdr:col>8</xdr:col>
                <xdr:colOff>104775</xdr:colOff>
                <xdr:row>0</xdr:row>
                <xdr:rowOff>1000125</xdr:rowOff>
              </to>
            </anchor>
          </objectPr>
        </oleObject>
      </mc:Choice>
      <mc:Fallback>
        <oleObject shapeId="10338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30"/>
  <sheetViews>
    <sheetView workbookViewId="0">
      <selection activeCell="C25" sqref="C25"/>
    </sheetView>
  </sheetViews>
  <sheetFormatPr defaultRowHeight="15"/>
  <sheetData>
    <row r="3" spans="3:3">
      <c r="C3" t="s">
        <v>506</v>
      </c>
    </row>
    <row r="4" spans="3:3">
      <c r="C4" t="s">
        <v>507</v>
      </c>
    </row>
    <row r="5" spans="3:3">
      <c r="C5" t="s">
        <v>508</v>
      </c>
    </row>
    <row r="6" spans="3:3">
      <c r="C6" t="s">
        <v>509</v>
      </c>
    </row>
    <row r="7" spans="3:3">
      <c r="C7" t="s">
        <v>507</v>
      </c>
    </row>
    <row r="8" spans="3:3">
      <c r="C8" t="s">
        <v>508</v>
      </c>
    </row>
    <row r="9" spans="3:3">
      <c r="C9" t="s">
        <v>510</v>
      </c>
    </row>
    <row r="10" spans="3:3">
      <c r="C10" t="s">
        <v>511</v>
      </c>
    </row>
    <row r="11" spans="3:3">
      <c r="C11" t="s">
        <v>512</v>
      </c>
    </row>
    <row r="12" spans="3:3">
      <c r="C12" t="s">
        <v>513</v>
      </c>
    </row>
    <row r="13" spans="3:3">
      <c r="C13" t="s">
        <v>514</v>
      </c>
    </row>
    <row r="14" spans="3:3">
      <c r="C14" t="s">
        <v>515</v>
      </c>
    </row>
    <row r="15" spans="3:3">
      <c r="C15" t="s">
        <v>516</v>
      </c>
    </row>
    <row r="16" spans="3:3">
      <c r="C16" t="s">
        <v>514</v>
      </c>
    </row>
    <row r="17" spans="3:3">
      <c r="C17" t="s">
        <v>515</v>
      </c>
    </row>
    <row r="18" spans="3:3">
      <c r="C18" t="s">
        <v>517</v>
      </c>
    </row>
    <row r="19" spans="3:3">
      <c r="C19" t="s">
        <v>518</v>
      </c>
    </row>
    <row r="21" spans="3:3">
      <c r="C21" t="s">
        <v>522</v>
      </c>
    </row>
    <row r="22" spans="3:3">
      <c r="C22" t="s">
        <v>523</v>
      </c>
    </row>
    <row r="23" spans="3:3">
      <c r="C23" t="s">
        <v>524</v>
      </c>
    </row>
    <row r="25" spans="3:3">
      <c r="C25" t="s">
        <v>533</v>
      </c>
    </row>
    <row r="28" spans="3:3">
      <c r="C28" t="s">
        <v>527</v>
      </c>
    </row>
    <row r="29" spans="3:3">
      <c r="C29" t="s">
        <v>528</v>
      </c>
    </row>
    <row r="30" spans="3:3">
      <c r="C30" t="s">
        <v>529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zoomScale="85" zoomScaleSheetLayoutView="85" workbookViewId="0">
      <selection activeCell="C8" sqref="C8"/>
    </sheetView>
  </sheetViews>
  <sheetFormatPr defaultRowHeight="12.75"/>
  <cols>
    <col min="1" max="1" width="33.42578125" style="160" customWidth="1"/>
    <col min="2" max="2" width="7.85546875" style="160" bestFit="1" customWidth="1"/>
    <col min="3" max="3" width="6.28515625" style="202" bestFit="1" customWidth="1"/>
    <col min="4" max="4" width="8.5703125" style="160" bestFit="1" customWidth="1"/>
    <col min="5" max="5" width="7" style="160" bestFit="1" customWidth="1"/>
    <col min="6" max="6" width="7.7109375" style="203" bestFit="1" customWidth="1"/>
    <col min="7" max="7" width="9.140625" style="160"/>
    <col min="8" max="8" width="9.140625" style="203"/>
    <col min="9" max="16384" width="9.140625" style="160"/>
  </cols>
  <sheetData>
    <row r="1" spans="1:9" ht="90.6" customHeight="1" thickBot="1">
      <c r="A1" s="1023" t="s">
        <v>266</v>
      </c>
      <c r="B1" s="1024"/>
      <c r="C1" s="1024"/>
      <c r="D1" s="1024"/>
      <c r="E1" s="1024"/>
      <c r="F1" s="1025"/>
      <c r="G1" s="1026"/>
      <c r="H1" s="1026"/>
      <c r="I1" s="1027"/>
    </row>
    <row r="2" spans="1:9" ht="27" customHeight="1" thickBot="1">
      <c r="A2" s="295" t="s">
        <v>583</v>
      </c>
      <c r="B2" s="209" t="s">
        <v>584</v>
      </c>
      <c r="C2" s="1018" t="s">
        <v>589</v>
      </c>
      <c r="D2" s="1019"/>
      <c r="E2" s="1019"/>
      <c r="F2" s="1019"/>
      <c r="G2" s="1019"/>
      <c r="H2" s="1019"/>
      <c r="I2" s="1020"/>
    </row>
    <row r="3" spans="1:9">
      <c r="A3" s="296"/>
      <c r="B3" s="161"/>
      <c r="C3" s="162"/>
      <c r="D3" s="161"/>
      <c r="E3" s="161"/>
      <c r="F3" s="163"/>
      <c r="G3" s="164"/>
      <c r="H3" s="163"/>
      <c r="I3" s="297"/>
    </row>
    <row r="4" spans="1:9">
      <c r="A4" s="298" t="s">
        <v>135</v>
      </c>
      <c r="B4" s="165" t="s">
        <v>136</v>
      </c>
      <c r="C4" s="166" t="s">
        <v>137</v>
      </c>
      <c r="D4" s="165" t="s">
        <v>138</v>
      </c>
      <c r="E4" s="165" t="s">
        <v>139</v>
      </c>
      <c r="F4" s="167" t="s">
        <v>140</v>
      </c>
      <c r="G4" s="168" t="s">
        <v>141</v>
      </c>
      <c r="H4" s="167" t="s">
        <v>142</v>
      </c>
      <c r="I4" s="299" t="s">
        <v>117</v>
      </c>
    </row>
    <row r="5" spans="1:9">
      <c r="A5" s="300" t="s">
        <v>118</v>
      </c>
      <c r="B5" s="169"/>
      <c r="C5" s="170"/>
      <c r="D5" s="171"/>
      <c r="E5" s="171"/>
      <c r="F5" s="172"/>
      <c r="G5" s="171"/>
      <c r="H5" s="172"/>
      <c r="I5" s="301"/>
    </row>
    <row r="6" spans="1:9" ht="24">
      <c r="A6" s="302" t="s">
        <v>585</v>
      </c>
      <c r="B6" s="169" t="s">
        <v>119</v>
      </c>
      <c r="C6" s="173" t="s">
        <v>587</v>
      </c>
      <c r="D6" s="174">
        <v>1.5</v>
      </c>
      <c r="E6" s="175">
        <v>1</v>
      </c>
      <c r="F6" s="176">
        <v>15.55</v>
      </c>
      <c r="G6" s="177">
        <v>0</v>
      </c>
      <c r="H6" s="176">
        <f>F6</f>
        <v>15.55</v>
      </c>
      <c r="I6" s="178">
        <f>F6*D6</f>
        <v>23.325000000000003</v>
      </c>
    </row>
    <row r="7" spans="1:9" ht="24">
      <c r="A7" s="179" t="s">
        <v>586</v>
      </c>
      <c r="B7" s="180" t="s">
        <v>119</v>
      </c>
      <c r="C7" s="180" t="s">
        <v>588</v>
      </c>
      <c r="D7" s="174">
        <v>1</v>
      </c>
      <c r="E7" s="175">
        <v>1</v>
      </c>
      <c r="F7" s="176">
        <v>11.25</v>
      </c>
      <c r="G7" s="175">
        <v>0</v>
      </c>
      <c r="H7" s="176">
        <f>F7</f>
        <v>11.25</v>
      </c>
      <c r="I7" s="178">
        <f>F7*D7</f>
        <v>11.25</v>
      </c>
    </row>
    <row r="8" spans="1:9" ht="15">
      <c r="A8" s="181" t="s">
        <v>143</v>
      </c>
      <c r="B8" s="182"/>
      <c r="C8" s="177"/>
      <c r="D8" s="182"/>
      <c r="E8" s="182"/>
      <c r="F8" s="183"/>
      <c r="G8" s="1028" t="s">
        <v>120</v>
      </c>
      <c r="H8" s="1028"/>
      <c r="I8" s="185">
        <f>ROUNDDOWN(I6+I7,2)</f>
        <v>34.57</v>
      </c>
    </row>
    <row r="9" spans="1:9" ht="15">
      <c r="A9" s="220" t="s">
        <v>121</v>
      </c>
      <c r="B9" s="218"/>
      <c r="C9" s="218"/>
      <c r="D9" s="219"/>
      <c r="E9" s="219"/>
      <c r="F9" s="219"/>
      <c r="G9" s="219"/>
      <c r="H9" s="219"/>
      <c r="I9" s="219"/>
    </row>
    <row r="10" spans="1:9" ht="36">
      <c r="A10" s="225" t="s">
        <v>589</v>
      </c>
      <c r="B10" s="184" t="s">
        <v>224</v>
      </c>
      <c r="C10" s="173" t="s">
        <v>226</v>
      </c>
      <c r="D10" s="183">
        <v>1</v>
      </c>
      <c r="E10" s="182">
        <v>1</v>
      </c>
      <c r="F10" s="183">
        <f>154.02*4</f>
        <v>616.08000000000004</v>
      </c>
      <c r="G10" s="177">
        <v>0</v>
      </c>
      <c r="H10" s="183">
        <f>F10</f>
        <v>616.08000000000004</v>
      </c>
      <c r="I10" s="183">
        <f>H10*D10</f>
        <v>616.08000000000004</v>
      </c>
    </row>
    <row r="11" spans="1:9" ht="36">
      <c r="A11" s="225" t="s">
        <v>591</v>
      </c>
      <c r="B11" s="184" t="s">
        <v>592</v>
      </c>
      <c r="C11" s="173" t="s">
        <v>593</v>
      </c>
      <c r="D11" s="669">
        <v>4.0000000000000001E-3</v>
      </c>
      <c r="E11" s="182">
        <v>1</v>
      </c>
      <c r="F11" s="183">
        <v>300.14999999999998</v>
      </c>
      <c r="G11" s="177">
        <v>0</v>
      </c>
      <c r="H11" s="183">
        <f>F11</f>
        <v>300.14999999999998</v>
      </c>
      <c r="I11" s="183">
        <f>H11*D11</f>
        <v>1.2005999999999999</v>
      </c>
    </row>
    <row r="12" spans="1:9" ht="15">
      <c r="A12" s="224"/>
      <c r="B12" s="182"/>
      <c r="C12" s="177"/>
      <c r="D12" s="182"/>
      <c r="E12" s="182"/>
      <c r="F12" s="183"/>
      <c r="G12" s="1028" t="s">
        <v>120</v>
      </c>
      <c r="H12" s="1028"/>
      <c r="I12" s="185">
        <f>ROUNDDOWN(I10+I11,2)</f>
        <v>617.28</v>
      </c>
    </row>
    <row r="13" spans="1:9">
      <c r="A13" s="224"/>
      <c r="B13" s="182"/>
      <c r="C13" s="177"/>
      <c r="D13" s="182"/>
      <c r="E13" s="182"/>
      <c r="F13" s="183"/>
      <c r="G13" s="184"/>
      <c r="H13" s="183"/>
      <c r="I13" s="183"/>
    </row>
    <row r="14" spans="1:9">
      <c r="A14" s="298" t="s">
        <v>157</v>
      </c>
      <c r="B14" s="186"/>
      <c r="C14" s="187"/>
      <c r="D14" s="186"/>
      <c r="E14" s="186"/>
      <c r="F14" s="167"/>
      <c r="G14" s="188"/>
      <c r="H14" s="167" t="s">
        <v>123</v>
      </c>
      <c r="I14" s="299" t="s">
        <v>124</v>
      </c>
    </row>
    <row r="15" spans="1:9">
      <c r="A15" s="303" t="s">
        <v>122</v>
      </c>
      <c r="B15" s="189"/>
      <c r="C15" s="190"/>
      <c r="D15" s="189"/>
      <c r="E15" s="189"/>
      <c r="F15" s="191"/>
      <c r="G15" s="192"/>
      <c r="H15" s="191"/>
      <c r="I15" s="304"/>
    </row>
    <row r="16" spans="1:9">
      <c r="A16" s="641" t="s">
        <v>144</v>
      </c>
      <c r="B16" s="642"/>
      <c r="C16" s="190"/>
      <c r="D16" s="189"/>
      <c r="E16" s="189"/>
      <c r="F16" s="191"/>
      <c r="G16" s="192"/>
      <c r="H16" s="183">
        <v>134.87</v>
      </c>
      <c r="I16" s="304">
        <f>I8</f>
        <v>34.57</v>
      </c>
    </row>
    <row r="17" spans="1:9">
      <c r="A17" s="641" t="s">
        <v>125</v>
      </c>
      <c r="B17" s="642"/>
      <c r="C17" s="190"/>
      <c r="D17" s="189"/>
      <c r="E17" s="189"/>
      <c r="F17" s="191"/>
      <c r="G17" s="192"/>
      <c r="H17" s="191"/>
      <c r="I17" s="304">
        <f>I12</f>
        <v>617.28</v>
      </c>
    </row>
    <row r="18" spans="1:9">
      <c r="A18" s="641" t="s">
        <v>126</v>
      </c>
      <c r="B18" s="642"/>
      <c r="C18" s="190"/>
      <c r="D18" s="189"/>
      <c r="E18" s="189"/>
      <c r="F18" s="191"/>
      <c r="G18" s="192"/>
      <c r="H18" s="191"/>
      <c r="I18" s="304">
        <v>0</v>
      </c>
    </row>
    <row r="19" spans="1:9">
      <c r="A19" s="641" t="s">
        <v>127</v>
      </c>
      <c r="B19" s="642"/>
      <c r="C19" s="190"/>
      <c r="D19" s="189"/>
      <c r="E19" s="189"/>
      <c r="F19" s="191"/>
      <c r="G19" s="192"/>
      <c r="H19" s="191"/>
      <c r="I19" s="304">
        <v>1</v>
      </c>
    </row>
    <row r="20" spans="1:9">
      <c r="A20" s="641" t="s">
        <v>128</v>
      </c>
      <c r="B20" s="642"/>
      <c r="C20" s="190"/>
      <c r="D20" s="189"/>
      <c r="E20" s="189"/>
      <c r="F20" s="191"/>
      <c r="G20" s="192"/>
      <c r="H20" s="191"/>
      <c r="I20" s="304">
        <f>I16+I18</f>
        <v>34.57</v>
      </c>
    </row>
    <row r="21" spans="1:9">
      <c r="A21" s="1021" t="s">
        <v>129</v>
      </c>
      <c r="B21" s="1022"/>
      <c r="C21" s="190"/>
      <c r="D21" s="189"/>
      <c r="E21" s="189"/>
      <c r="F21" s="191"/>
      <c r="G21" s="192"/>
      <c r="H21" s="191"/>
      <c r="I21" s="304">
        <f>SUM(I16+I18)/I19</f>
        <v>34.57</v>
      </c>
    </row>
    <row r="22" spans="1:9">
      <c r="A22" s="641" t="s">
        <v>130</v>
      </c>
      <c r="B22" s="642"/>
      <c r="C22" s="190"/>
      <c r="D22" s="189"/>
      <c r="E22" s="189"/>
      <c r="F22" s="191"/>
      <c r="G22" s="192"/>
      <c r="H22" s="191"/>
      <c r="I22" s="304">
        <f>I21+I17</f>
        <v>651.85</v>
      </c>
    </row>
    <row r="23" spans="1:9" ht="13.5" thickBot="1">
      <c r="A23" s="306" t="s">
        <v>131</v>
      </c>
      <c r="B23" s="194"/>
      <c r="C23" s="195"/>
      <c r="D23" s="194"/>
      <c r="E23" s="194"/>
      <c r="F23" s="196"/>
      <c r="G23" s="197"/>
      <c r="H23" s="196"/>
      <c r="I23" s="307">
        <f>SUM(I17,I8)</f>
        <v>651.85</v>
      </c>
    </row>
    <row r="24" spans="1:9">
      <c r="A24" s="296"/>
      <c r="B24" s="161"/>
      <c r="C24" s="162"/>
      <c r="D24" s="161"/>
      <c r="E24" s="161"/>
      <c r="F24" s="163"/>
      <c r="G24" s="164"/>
      <c r="H24" s="163"/>
      <c r="I24" s="297"/>
    </row>
    <row r="25" spans="1:9">
      <c r="A25" s="313" t="s">
        <v>145</v>
      </c>
      <c r="B25" s="161"/>
      <c r="C25" s="162"/>
      <c r="D25" s="161"/>
      <c r="E25" s="161"/>
      <c r="F25" s="163"/>
      <c r="G25" s="164"/>
      <c r="H25" s="163"/>
      <c r="I25" s="297"/>
    </row>
    <row r="26" spans="1:9">
      <c r="A26" s="314" t="s">
        <v>590</v>
      </c>
      <c r="B26" s="308"/>
      <c r="C26" s="309"/>
      <c r="D26" s="308"/>
      <c r="E26" s="308"/>
      <c r="F26" s="310"/>
      <c r="G26" s="311"/>
      <c r="H26" s="310"/>
      <c r="I26" s="312"/>
    </row>
    <row r="27" spans="1:9">
      <c r="A27" s="198"/>
      <c r="B27" s="198"/>
      <c r="C27" s="199"/>
      <c r="D27" s="198"/>
      <c r="E27" s="198"/>
      <c r="F27" s="200"/>
      <c r="G27" s="201"/>
      <c r="H27" s="200"/>
      <c r="I27" s="200"/>
    </row>
    <row r="28" spans="1:9">
      <c r="A28" s="198"/>
      <c r="B28" s="198"/>
      <c r="C28" s="199"/>
      <c r="D28" s="198"/>
      <c r="E28" s="198"/>
      <c r="F28" s="200"/>
      <c r="G28" s="201"/>
      <c r="H28" s="200"/>
      <c r="I28" s="200"/>
    </row>
    <row r="29" spans="1:9">
      <c r="A29" s="198"/>
      <c r="B29" s="198"/>
      <c r="C29" s="199"/>
      <c r="D29" s="198"/>
      <c r="E29" s="198"/>
      <c r="F29" s="200"/>
      <c r="G29" s="201"/>
      <c r="H29" s="200"/>
      <c r="I29" s="200"/>
    </row>
    <row r="30" spans="1:9">
      <c r="A30" s="198"/>
      <c r="B30" s="198"/>
      <c r="C30" s="199"/>
      <c r="D30" s="198"/>
      <c r="E30" s="198"/>
      <c r="F30" s="200"/>
      <c r="G30" s="201"/>
      <c r="H30" s="200"/>
      <c r="I30" s="200"/>
    </row>
    <row r="31" spans="1:9">
      <c r="A31" s="198"/>
      <c r="B31" s="198"/>
      <c r="C31" s="199"/>
      <c r="D31" s="198"/>
      <c r="E31" s="198"/>
      <c r="F31" s="200"/>
      <c r="G31" s="201"/>
      <c r="H31" s="200"/>
      <c r="I31" s="200"/>
    </row>
    <row r="32" spans="1:9">
      <c r="A32" s="198"/>
      <c r="B32" s="198"/>
      <c r="C32" s="199"/>
      <c r="D32" s="198"/>
      <c r="E32" s="198"/>
      <c r="F32" s="200"/>
      <c r="G32" s="201"/>
      <c r="H32" s="200"/>
      <c r="I32" s="200"/>
    </row>
  </sheetData>
  <mergeCells count="6">
    <mergeCell ref="A21:B21"/>
    <mergeCell ref="A1:F1"/>
    <mergeCell ref="G1:I1"/>
    <mergeCell ref="C2:I2"/>
    <mergeCell ref="G8:H8"/>
    <mergeCell ref="G12:H12"/>
  </mergeCells>
  <pageMargins left="0.51181102362204722" right="0.51181102362204722" top="0.78740157480314965" bottom="0.78740157480314965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shapeId="12289" r:id="rId4">
          <objectPr defaultSize="0" autoPict="0" r:id="rId5">
            <anchor moveWithCells="1" sizeWithCells="1">
              <from>
                <xdr:col>6</xdr:col>
                <xdr:colOff>457200</xdr:colOff>
                <xdr:row>0</xdr:row>
                <xdr:rowOff>133350</xdr:rowOff>
              </from>
              <to>
                <xdr:col>8</xdr:col>
                <xdr:colOff>133350</xdr:colOff>
                <xdr:row>0</xdr:row>
                <xdr:rowOff>1047750</xdr:rowOff>
              </to>
            </anchor>
          </objectPr>
        </oleObject>
      </mc:Choice>
      <mc:Fallback>
        <oleObject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BDI</vt:lpstr>
      <vt:lpstr>CEIM_SÃO_PEDRO</vt:lpstr>
      <vt:lpstr>CRONOGRAMA</vt:lpstr>
      <vt:lpstr>MEMORIAL DE CÁLCULO </vt:lpstr>
      <vt:lpstr>COMPOSIÇÃO 01</vt:lpstr>
      <vt:lpstr>Plan1</vt:lpstr>
      <vt:lpstr>COMPOSIÇÃO 02</vt:lpstr>
      <vt:lpstr>BDI!Area_de_impressao</vt:lpstr>
      <vt:lpstr>CEIM_SÃO_PEDRO!Area_de_impressao</vt:lpstr>
      <vt:lpstr>'COMPOSIÇÃO 01'!Area_de_impressao</vt:lpstr>
      <vt:lpstr>'COMPOSIÇÃO 02'!Area_de_impressao</vt:lpstr>
      <vt:lpstr>CRONOGRAMA!Area_de_impressao</vt:lpstr>
      <vt:lpstr>'MEMORIAL DE CÁLCULO '!Area_de_impressao</vt:lpstr>
      <vt:lpstr>CEIM_SÃO_PEDRO!Titulos_de_impressao</vt:lpstr>
      <vt:lpstr>'MEMORIAL DE CÁLCULO 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COMPRAS - 02</cp:lastModifiedBy>
  <cp:lastPrinted>2015-07-22T14:53:18Z</cp:lastPrinted>
  <dcterms:created xsi:type="dcterms:W3CDTF">2013-10-08T13:10:51Z</dcterms:created>
  <dcterms:modified xsi:type="dcterms:W3CDTF">2015-11-25T16:20:10Z</dcterms:modified>
</cp:coreProperties>
</file>