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mbeddings/oleObject7.bin" ContentType="application/vnd.openxmlformats-officedocument.oleObject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emf" ContentType="image/x-emf"/>
  <Override PartName="/xl/embeddings/oleObject3.bin" ContentType="application/vnd.openxmlformats-officedocument.oleObject"/>
  <Default Extension="jpeg" ContentType="image/jpeg"/>
  <Override PartName="/xl/embeddings/oleObject4.bin" ContentType="application/vnd.openxmlformats-officedocument.oleObject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19320" windowHeight="9975" tabRatio="875" activeTab="1"/>
  </bookViews>
  <sheets>
    <sheet name="BDI" sheetId="13" r:id="rId1"/>
    <sheet name="CEIM_SÃO_PEDRO" sheetId="9" r:id="rId2"/>
    <sheet name="CRONOGRAMA" sheetId="12" r:id="rId3"/>
    <sheet name="MEMORIAL DE CÁLCULO " sheetId="14" r:id="rId4"/>
    <sheet name="COMPOSIÇÃO 01" sheetId="16" r:id="rId5"/>
    <sheet name="Plan1" sheetId="20" r:id="rId6"/>
    <sheet name="COMPOSIÇÃO 02" sheetId="21" r:id="rId7"/>
  </sheets>
  <externalReferences>
    <externalReference r:id="rId8"/>
    <externalReference r:id="rId9"/>
    <externalReference r:id="rId10"/>
  </externalReferences>
  <definedNames>
    <definedName name="Acima">INDIRECT(ADDRESS(ROW()-1,COLUMN()))</definedName>
    <definedName name="Aqui">INDIRECT(ADDRESS(ROW(),COLUMN()))</definedName>
    <definedName name="_xlnm.Print_Area" localSheetId="0">BDI!$A$1:$D$51</definedName>
    <definedName name="_xlnm.Print_Area" localSheetId="1">CEIM_SÃO_PEDRO!$A$1:$I$194</definedName>
    <definedName name="_xlnm.Print_Area" localSheetId="4">'COMPOSIÇÃO 01'!$A$1:$I$25</definedName>
    <definedName name="_xlnm.Print_Area" localSheetId="6">'COMPOSIÇÃO 02'!$A$1:$I$26</definedName>
    <definedName name="_xlnm.Print_Area" localSheetId="2">CRONOGRAMA!$A$1:$J$51</definedName>
    <definedName name="_xlnm.Print_Area" localSheetId="3">'MEMORIAL DE CÁLCULO '!$A$1:$K$870</definedName>
    <definedName name="Bm.colAtual" localSheetId="4">OFFSET(tabBM,,'COMPOSIÇÃO 01'!Bm.posAtual,,1)</definedName>
    <definedName name="Bm.colAtual" localSheetId="6">OFFSET([0]!tabBM,,'COMPOSIÇÃO 02'!Bm.posAtual,,1)</definedName>
    <definedName name="Bm.colAtual">OFFSET(tabBM,,'COMPOSIÇÃO 01'!Bm.posAtual,,1)</definedName>
    <definedName name="Bm.linAtual">INDEX('[1]Orçamento e Medição - MO37587'!$S$1:$S$65536,ROW())</definedName>
    <definedName name="Bm.Periodos">'[2]PLAN ADT 01'!$T$12:$AD$12</definedName>
    <definedName name="Bm.posAcum">#N/A</definedName>
    <definedName name="Bm.posAtual" localSheetId="4">IF(mediçao&lt;N(Bm.Periodos),-1,MATCH(mediçao,Bm.Periodos)-1)</definedName>
    <definedName name="Bm.posAtual" localSheetId="6">IF([0]!mediçao&lt;N([0]!Bm.Periodos),-1,MATCH([0]!mediçao,[0]!Bm.Periodos)-1)</definedName>
    <definedName name="Bm.posAtual">IF(mediçao&lt;N(Bm.Periodos),-1,MATCH(mediçao,Bm.Periodos)-1)</definedName>
    <definedName name="COMPOSIÇÃO_03" localSheetId="6">#REF!</definedName>
    <definedName name="COMPOSIÇÃO_03">#REF!</definedName>
    <definedName name="éAcertoGlosa" localSheetId="4">SUM(Orç.éGlosado)</definedName>
    <definedName name="éAcertoGlosa" localSheetId="6">SUM([0]!Orç.éGlosado)</definedName>
    <definedName name="éAcertoGlosa">SUM(Orç.éGlosado)</definedName>
    <definedName name="éAditadoDepois">#N/A</definedName>
    <definedName name="éAditadoNoPeríodo">#N/A</definedName>
    <definedName name="Esquerda">INDIRECT(ADDRESS(ROW(),COLUMN()-1))</definedName>
    <definedName name="EsquerdaAbaixo">INDIRECT(ADDRESS(ROW()+1,COLUMN()-1))</definedName>
    <definedName name="Excel_BuiltIn_Print_Area_1_1" localSheetId="6">#REF!</definedName>
    <definedName name="Excel_BuiltIn_Print_Area_1_1">#REF!</definedName>
    <definedName name="Excel_BuiltIn_Print_Area_2_1">"$#REF!.$A$1:$J$410"</definedName>
    <definedName name="Excel_BuiltIn_Print_Area_3_1" localSheetId="6">#REF!</definedName>
    <definedName name="Excel_BuiltIn_Print_Area_3_1">#REF!</definedName>
    <definedName name="Excel_BuiltIn_Print_Area_3_1_1" localSheetId="6">#REF!</definedName>
    <definedName name="Excel_BuiltIn_Print_Area_3_1_1">#REF!</definedName>
    <definedName name="Excel_BuiltIn_Print_Area_4" localSheetId="6">#REF!</definedName>
    <definedName name="Excel_BuiltIn_Print_Area_4">#REF!</definedName>
    <definedName name="Excel_BuiltIn_Print_Titles_1_1">"$#REF!.$A$1:$AMJ$3"</definedName>
    <definedName name="Excel_BuiltIn_Print_Titles_2">"$#REF!.$A$1:$AMJ$2"</definedName>
    <definedName name="ExecAcum" localSheetId="4">IF('COMPOSIÇÃO 01'!Item.éValido,IF('COMPOSIÇÃO 01'!Item.Quant,Esquerda/'COMPOSIÇÃO 01'!Item.Quant,"&gt;&gt;"),"")</definedName>
    <definedName name="ExecAcum" localSheetId="6">IF('COMPOSIÇÃO 02'!Item.éValido,IF('COMPOSIÇÃO 02'!Item.Quant,[0]!Esquerda/'COMPOSIÇÃO 02'!Item.Quant,"&gt;&gt;"),"")</definedName>
    <definedName name="ExecAcum">IF('COMPOSIÇÃO 01'!Item.éValido,IF('COMPOSIÇÃO 01'!Item.Quant,Esquerda/'COMPOSIÇÃO 01'!Item.Quant,"&gt;&gt;"),"")</definedName>
    <definedName name="ExecPeriodo">#N/A</definedName>
    <definedName name="FisicoAcum" localSheetId="4">IF('COMPOSIÇÃO 01'!Item.éValido,SUM(OFFSET(Bm.linAtual,,,,Bm.posAcum)),"")</definedName>
    <definedName name="FisicoAcum" localSheetId="6">IF('COMPOSIÇÃO 02'!Item.éValido,SUM(OFFSET([0]!Bm.linAtual,,,,[0]!Bm.posAcum)),"")</definedName>
    <definedName name="FisicoAcum">IF('COMPOSIÇÃO 01'!Item.éValido,SUM(OFFSET(Bm.linAtual,,,,Bm.posAcum)),"")</definedName>
    <definedName name="ggg" localSheetId="6">#REF!</definedName>
    <definedName name="ggg">#REF!</definedName>
    <definedName name="HHHH" localSheetId="6">#REF!</definedName>
    <definedName name="HHHH">#REF!</definedName>
    <definedName name="inicio">'[3]Orçamento e Medição - MO37587'!$S$5</definedName>
    <definedName name="Item.éAditado">LEN(TRIM(INDEX('[1]Orçamento e Medição - MO37587'!$L$1:$L$65536,ROW())))</definedName>
    <definedName name="Item.éValido" localSheetId="4">COUNT(OFFSET(Item.preçoLic,0,0,1,4))</definedName>
    <definedName name="Item.éValido" localSheetId="6">COUNT(OFFSET([0]!Item.preçoLic,0,0,1,4))</definedName>
    <definedName name="Item.éValido">COUNT(OFFSET(Item.preçoLic,0,0,1,4))</definedName>
    <definedName name="Item.Preço" localSheetId="4">N(IF(Item.éAditado*ISNUMBER(Item.preçoAlt),Item.preçoAlt,Item.preçoLic))</definedName>
    <definedName name="Item.Preço" localSheetId="6">N(IF([0]!Item.éAditado*ISNUMBER([0]!Item.preçoAlt),[0]!Item.preçoAlt,[0]!Item.preçoLic))</definedName>
    <definedName name="Item.Preço">N(IF(Item.éAditado*ISNUMBER(Item.preçoAlt),Item.preçoAlt,Item.preçoLic))</definedName>
    <definedName name="Item.preçoAlt">INDEX('[1]Orçamento e Medição - MO37587'!$K$1:$K$65536,ROW())</definedName>
    <definedName name="Item.preçoLic">INDEX('[1]Orçamento e Medição - MO37587'!$H$1:$H$65536,ROW())</definedName>
    <definedName name="Item.Quant" localSheetId="4">N(IF(Item.éAditado*ISNUMBER(Item.quantAlt),Item.quantAlt,Item.quantLic))</definedName>
    <definedName name="Item.Quant" localSheetId="6">N(IF([0]!Item.éAditado*ISNUMBER([0]!Item.quantAlt),[0]!Item.quantAlt,[0]!Item.quantLic))</definedName>
    <definedName name="Item.Quant">N(IF(Item.éAditado*ISNUMBER(Item.quantAlt),Item.quantAlt,Item.quantLic))</definedName>
    <definedName name="Item.quantAlt">INDEX('[1]Orçamento e Medição - MO37587'!$J$1:$J$65536,ROW())</definedName>
    <definedName name="Item.quantLic">INDEX('[1]Orçamento e Medição - MO37587'!$G$1:$G$65536,ROW())</definedName>
    <definedName name="mediçao">'[3]RESUMO - MO37588'!$M$2</definedName>
    <definedName name="Orç.colAdit">'[2]PLAN ADT 01'!$M$13:$M$793</definedName>
    <definedName name="Orç.éAditado" localSheetId="4">LEN(TRIM(Orç.colAdit))</definedName>
    <definedName name="Orç.éAditado" localSheetId="6">LEN(TRIM([0]!Orç.colAdit))</definedName>
    <definedName name="Orç.éAditado">LEN(TRIM(Orç.colAdit))</definedName>
    <definedName name="Orç.éGlosado">#N/A</definedName>
    <definedName name="Orç.percAcum">'[2]PLAN ADT 01'!$R$13:$R$787</definedName>
    <definedName name="Orç.percAnterior" localSheetId="4">Orç.percAcum-Orç.percAtual</definedName>
    <definedName name="Orç.percAnterior" localSheetId="6">[0]!Orç.percAcum-[0]!Orç.percAtual</definedName>
    <definedName name="Orç.percAnterior">Orç.percAcum-Orç.percAtual</definedName>
    <definedName name="Orç.percAtual">'[2]PLAN ADT 01'!$P$13:$P$787</definedName>
    <definedName name="Orç.preço" localSheetId="4">IF('COMPOSIÇÃO 01'!Orç.éAditado*ISNUMBER(Orç.preçoAlt),Orç.preçoAlt,Orç.preçoLic)</definedName>
    <definedName name="Orç.preço" localSheetId="6">IF('COMPOSIÇÃO 02'!Orç.éAditado*ISNUMBER([0]!Orç.preçoAlt),[0]!Orç.preçoAlt,[0]!Orç.preçoLic)</definedName>
    <definedName name="Orç.preço">IF(Orç.éAditado*ISNUMBER(Orç.preçoAlt),Orç.preçoAlt,Orç.preçoLic)</definedName>
    <definedName name="Orç.preçoAlt">'[2]PLAN ADT 01'!$L$13:$L$793</definedName>
    <definedName name="Orç.preçoLic">'[2]PLAN ADT 01'!$I$13:$I$792</definedName>
    <definedName name="Orç.preçoPrev" localSheetId="4">IF(ISNUMBER(Orç.preçoAlt),Orç.preçoAlt,Orç.preçoLic)</definedName>
    <definedName name="Orç.preçoPrev" localSheetId="6">IF(ISNUMBER([0]!Orç.preçoAlt),[0]!Orç.preçoAlt,[0]!Orç.preçoLic)</definedName>
    <definedName name="Orç.preçoPrev">IF(ISNUMBER(Orç.preçoAlt),Orç.preçoAlt,Orç.preçoLic)</definedName>
    <definedName name="Orç.quant" localSheetId="4">IF('COMPOSIÇÃO 01'!Orç.éAditado*ISNUMBER(Orç.quantAlt),Orç.quantAlt,Orç.quantLic)</definedName>
    <definedName name="Orç.quant" localSheetId="6">IF('COMPOSIÇÃO 02'!Orç.éAditado*ISNUMBER([0]!Orç.quantAlt),[0]!Orç.quantAlt,[0]!Orç.quantLic)</definedName>
    <definedName name="Orç.quant">IF(Orç.éAditado*ISNUMBER(Orç.quantAlt),Orç.quantAlt,Orç.quantLic)</definedName>
    <definedName name="Orç.quantAlt">'[2]PLAN ADT 01'!$K$13:$K$793</definedName>
    <definedName name="Orç.quantLic">'[2]PLAN ADT 01'!$H$13:$H$792</definedName>
    <definedName name="Orç.quantPrev">#N/A</definedName>
    <definedName name="prazo">'[3]Orçamento e Medição - MO37587'!$S$7</definedName>
    <definedName name="PreçoTotal" localSheetId="4">IF('COMPOSIÇÃO 01'!Item.éValido,'COMPOSIÇÃO 01'!Item.Quant*'COMPOSIÇÃO 01'!Item.Preço,"")</definedName>
    <definedName name="PreçoTotal" localSheetId="6">IF('COMPOSIÇÃO 02'!Item.éValido,'COMPOSIÇÃO 02'!Item.Quant*'COMPOSIÇÃO 02'!Item.Preço,"")</definedName>
    <definedName name="PreçoTotal">IF(Item.éValido,Item.Quant*Item.Preço,"")</definedName>
    <definedName name="Res.cpParcela">'[1]RESUMO - MO37588'!$E$769-SUMIF('[1]RESUMO - MO37588'!$G$18:$G$768,"&gt;=0",'[1]RESUMO - MO37588'!$E$18:$E$768)</definedName>
    <definedName name="Res.cpProp">MAX('[1]RESUMO - MO37588'!$J$10-SUM('[1]RESUMO - MO37588'!$G$17:$G$768),0)</definedName>
    <definedName name="Res.éAditadoDepois">#N/A</definedName>
    <definedName name="Res.éAditadoNoPeriodo">#N/A</definedName>
    <definedName name="Res.éGlosado">NA()</definedName>
    <definedName name="Res.linProxItem" localSheetId="4">OFFSET(tabOrçamento,Acima+1,0,ROWS(tabOrçamento)-Acima-1,1)</definedName>
    <definedName name="Res.linProxItem" localSheetId="6">OFFSET([0]!tabOrçamento,[0]!Acima+1,0,ROWS([0]!tabOrçamento)-[0]!Acima-1,1)</definedName>
    <definedName name="Res.linProxItem">OFFSET(tabOrçamento,Acima+1,0,ROWS(tabOrçamento)-Acima-1,1)</definedName>
    <definedName name="Res.percAcumulado">#N/A</definedName>
    <definedName name="Res.percAnterior" localSheetId="4">Res.percAcumulado-Res.percPeriodo</definedName>
    <definedName name="Res.percAnterior" localSheetId="6">[0]!Res.percAcumulado-[0]!Res.percPeriodo</definedName>
    <definedName name="Res.percAnterior">Res.percAcumulado-Res.percPeriodo</definedName>
    <definedName name="Res.percPeriodo">#N/A</definedName>
    <definedName name="Res.posDelta">INDIRECT(ADDRESS(ROW(),16))</definedName>
    <definedName name="Res.posInicio">INDIRECT(ADDRESS(ROW(),15))</definedName>
    <definedName name="Res.Preços">#N/A</definedName>
    <definedName name="tabBM">'[2]PLAN ADT 01'!$T$13:$AD$793</definedName>
    <definedName name="TABLE_1" localSheetId="4">#REF!</definedName>
    <definedName name="TABLE_1" localSheetId="6">#REF!</definedName>
    <definedName name="TABLE_1">#REF!</definedName>
    <definedName name="TABLE_1_1">NA()</definedName>
    <definedName name="TABLE_1_7">NA()</definedName>
    <definedName name="TABLE_2_1" localSheetId="4">#REF!</definedName>
    <definedName name="TABLE_2_1" localSheetId="6">#REF!</definedName>
    <definedName name="TABLE_2_1">#REF!</definedName>
    <definedName name="TABLE_2_1_1">NA()</definedName>
    <definedName name="TABLE_2_1_7">NA()</definedName>
    <definedName name="tabOrçamento">'[1]Orçamento e Medição - MO37587'!$B$13:$Q$166</definedName>
    <definedName name="TipoContrato" localSheetId="6">#REF!</definedName>
    <definedName name="TipoContrato">#REF!</definedName>
    <definedName name="_xlnm.Print_Titles" localSheetId="1">CEIM_SÃO_PEDRO!$9:$9</definedName>
    <definedName name="_xlnm.Print_Titles" localSheetId="3">'MEMORIAL DE CÁLCULO '!$7:$7</definedName>
  </definedNames>
  <calcPr calcId="125725"/>
</workbook>
</file>

<file path=xl/calcChain.xml><?xml version="1.0" encoding="utf-8"?>
<calcChain xmlns="http://schemas.openxmlformats.org/spreadsheetml/2006/main">
  <c r="I149" i="9"/>
  <c r="H147"/>
  <c r="I147" s="1"/>
  <c r="H142"/>
  <c r="I142" s="1"/>
  <c r="H146"/>
  <c r="I146" s="1"/>
  <c r="H50" i="12"/>
  <c r="G50"/>
  <c r="F50"/>
  <c r="E50"/>
  <c r="D50"/>
  <c r="I50"/>
  <c r="I45"/>
  <c r="J46"/>
  <c r="J48"/>
  <c r="J44"/>
  <c r="J42"/>
  <c r="J40"/>
  <c r="J38"/>
  <c r="J36"/>
  <c r="J34"/>
  <c r="J32"/>
  <c r="J30"/>
  <c r="J28"/>
  <c r="J26"/>
  <c r="J22"/>
  <c r="J20"/>
  <c r="J16"/>
  <c r="J49"/>
  <c r="J24"/>
  <c r="J18"/>
  <c r="J14"/>
  <c r="J12"/>
  <c r="H145" i="9"/>
  <c r="I145" s="1"/>
  <c r="H148"/>
  <c r="I148" s="1"/>
  <c r="H143"/>
  <c r="I143" s="1"/>
  <c r="H141"/>
  <c r="I141" s="1"/>
  <c r="H140"/>
  <c r="I140" s="1"/>
  <c r="H139"/>
  <c r="I139" s="1"/>
  <c r="H138"/>
  <c r="I138" s="1"/>
  <c r="H137"/>
  <c r="I137" s="1"/>
  <c r="H136"/>
  <c r="I136" s="1"/>
  <c r="H135"/>
  <c r="I135" s="1"/>
  <c r="H134"/>
  <c r="I134" s="1"/>
  <c r="H133"/>
  <c r="I133" s="1"/>
  <c r="H132"/>
  <c r="I132" s="1"/>
  <c r="H131"/>
  <c r="I131" s="1"/>
  <c r="H130"/>
  <c r="I130" s="1"/>
  <c r="H129"/>
  <c r="I129" s="1"/>
  <c r="H151"/>
  <c r="I151" s="1"/>
  <c r="H152"/>
  <c r="I152" s="1"/>
  <c r="F859" i="14"/>
  <c r="H186" i="9"/>
  <c r="I186" s="1"/>
  <c r="H11" i="21"/>
  <c r="I11" s="1"/>
  <c r="F10"/>
  <c r="H10"/>
  <c r="I10" s="1"/>
  <c r="I7"/>
  <c r="H7"/>
  <c r="I6"/>
  <c r="H6"/>
  <c r="F856" i="14"/>
  <c r="F853"/>
  <c r="H185" i="9"/>
  <c r="I185" s="1"/>
  <c r="H184"/>
  <c r="I184" s="1"/>
  <c r="F849" i="14"/>
  <c r="E845"/>
  <c r="F843" s="1"/>
  <c r="E848"/>
  <c r="F846" s="1"/>
  <c r="F97"/>
  <c r="F95" s="1"/>
  <c r="H25" i="9"/>
  <c r="I25" s="1"/>
  <c r="H181"/>
  <c r="I181" s="1"/>
  <c r="H180"/>
  <c r="I180" s="1"/>
  <c r="H179"/>
  <c r="I179" s="1"/>
  <c r="H178"/>
  <c r="I178" s="1"/>
  <c r="H177"/>
  <c r="I177" s="1"/>
  <c r="H176"/>
  <c r="I176" s="1"/>
  <c r="D325" i="14"/>
  <c r="D324"/>
  <c r="H74" i="9"/>
  <c r="I74" s="1"/>
  <c r="F697" i="14"/>
  <c r="F695"/>
  <c r="F690"/>
  <c r="F684"/>
  <c r="F675"/>
  <c r="F670"/>
  <c r="F668"/>
  <c r="F667"/>
  <c r="F660"/>
  <c r="F658"/>
  <c r="F652"/>
  <c r="E440"/>
  <c r="E441"/>
  <c r="E442"/>
  <c r="E426"/>
  <c r="E427"/>
  <c r="E428"/>
  <c r="E429"/>
  <c r="E430"/>
  <c r="E431"/>
  <c r="E432"/>
  <c r="E433"/>
  <c r="E434"/>
  <c r="E435"/>
  <c r="E436"/>
  <c r="E437"/>
  <c r="E438"/>
  <c r="E439"/>
  <c r="E425"/>
  <c r="E405"/>
  <c r="E404"/>
  <c r="E402"/>
  <c r="F399" s="1"/>
  <c r="E398"/>
  <c r="E397"/>
  <c r="E395"/>
  <c r="E393"/>
  <c r="F350"/>
  <c r="F353"/>
  <c r="F354"/>
  <c r="F357"/>
  <c r="F356"/>
  <c r="F347"/>
  <c r="F345"/>
  <c r="F344"/>
  <c r="F343"/>
  <c r="F342"/>
  <c r="F340"/>
  <c r="E329"/>
  <c r="F292"/>
  <c r="F291"/>
  <c r="F290"/>
  <c r="F287"/>
  <c r="F286"/>
  <c r="F283"/>
  <c r="F267"/>
  <c r="F268"/>
  <c r="F269"/>
  <c r="F270"/>
  <c r="F271"/>
  <c r="F272"/>
  <c r="F273"/>
  <c r="F274"/>
  <c r="F275"/>
  <c r="F276"/>
  <c r="F277"/>
  <c r="F278"/>
  <c r="F279"/>
  <c r="F280"/>
  <c r="F266"/>
  <c r="F253"/>
  <c r="F252"/>
  <c r="E228"/>
  <c r="E227"/>
  <c r="E225"/>
  <c r="E224"/>
  <c r="E222"/>
  <c r="E221"/>
  <c r="E219"/>
  <c r="E214"/>
  <c r="E211"/>
  <c r="E209"/>
  <c r="E207"/>
  <c r="E201"/>
  <c r="E198"/>
  <c r="E195"/>
  <c r="E194"/>
  <c r="D86"/>
  <c r="E70"/>
  <c r="E69"/>
  <c r="E46"/>
  <c r="F40"/>
  <c r="E11"/>
  <c r="F9" s="1"/>
  <c r="H171" i="9"/>
  <c r="I171" s="1"/>
  <c r="E727" i="14"/>
  <c r="F727" s="1"/>
  <c r="E728"/>
  <c r="F728" s="1"/>
  <c r="E729"/>
  <c r="F729" s="1"/>
  <c r="E726"/>
  <c r="F726" s="1"/>
  <c r="E757"/>
  <c r="F757" s="1"/>
  <c r="E756"/>
  <c r="F756" s="1"/>
  <c r="E755"/>
  <c r="F755" s="1"/>
  <c r="E754"/>
  <c r="F754" s="1"/>
  <c r="E688"/>
  <c r="F688" s="1"/>
  <c r="E686"/>
  <c r="F686" s="1"/>
  <c r="E685"/>
  <c r="F685" s="1"/>
  <c r="E646"/>
  <c r="E644"/>
  <c r="E642"/>
  <c r="E639"/>
  <c r="E636"/>
  <c r="E637"/>
  <c r="E638"/>
  <c r="E635"/>
  <c r="E687"/>
  <c r="F687" s="1"/>
  <c r="F619"/>
  <c r="F620"/>
  <c r="F621"/>
  <c r="F622"/>
  <c r="F623"/>
  <c r="F624"/>
  <c r="F625"/>
  <c r="F626"/>
  <c r="F627"/>
  <c r="F628"/>
  <c r="F629"/>
  <c r="F630"/>
  <c r="F631"/>
  <c r="F618"/>
  <c r="E334"/>
  <c r="E333"/>
  <c r="E332"/>
  <c r="E331"/>
  <c r="E90"/>
  <c r="E89"/>
  <c r="E94"/>
  <c r="E93"/>
  <c r="H24" i="9"/>
  <c r="I24" s="1"/>
  <c r="H23"/>
  <c r="I23" s="1"/>
  <c r="E218" i="14"/>
  <c r="F247"/>
  <c r="F248"/>
  <c r="F249"/>
  <c r="F246"/>
  <c r="F236"/>
  <c r="F237"/>
  <c r="F238"/>
  <c r="F240"/>
  <c r="F241"/>
  <c r="F242"/>
  <c r="F243"/>
  <c r="F235"/>
  <c r="C28"/>
  <c r="F28" s="1"/>
  <c r="C26"/>
  <c r="F26" s="1"/>
  <c r="C29"/>
  <c r="F29" s="1"/>
  <c r="C27"/>
  <c r="F27" s="1"/>
  <c r="C25"/>
  <c r="F25" s="1"/>
  <c r="C23"/>
  <c r="F23" s="1"/>
  <c r="C24"/>
  <c r="F24" s="1"/>
  <c r="C22"/>
  <c r="F22" s="1"/>
  <c r="E308"/>
  <c r="E307"/>
  <c r="E306"/>
  <c r="E305"/>
  <c r="E304"/>
  <c r="E302"/>
  <c r="E318"/>
  <c r="E317"/>
  <c r="E321"/>
  <c r="F319" s="1"/>
  <c r="E316"/>
  <c r="E315"/>
  <c r="H72" i="9"/>
  <c r="I72" s="1"/>
  <c r="H73"/>
  <c r="I73" s="1"/>
  <c r="E297" i="14"/>
  <c r="D85"/>
  <c r="E82"/>
  <c r="E81"/>
  <c r="E80"/>
  <c r="E79"/>
  <c r="E78"/>
  <c r="E77"/>
  <c r="E39"/>
  <c r="E38"/>
  <c r="E37"/>
  <c r="E36"/>
  <c r="E35"/>
  <c r="E34"/>
  <c r="H22" i="9"/>
  <c r="I22" s="1"/>
  <c r="H21"/>
  <c r="I21" s="1"/>
  <c r="H122"/>
  <c r="I122" s="1"/>
  <c r="H123"/>
  <c r="I123" s="1"/>
  <c r="H101"/>
  <c r="I101" s="1"/>
  <c r="H49"/>
  <c r="I49" s="1"/>
  <c r="C187" i="14"/>
  <c r="E458"/>
  <c r="F457" s="1"/>
  <c r="D119"/>
  <c r="F116" s="1"/>
  <c r="F115"/>
  <c r="F113"/>
  <c r="F180"/>
  <c r="H122"/>
  <c r="E179"/>
  <c r="G179" s="1"/>
  <c r="B177"/>
  <c r="E177"/>
  <c r="G173"/>
  <c r="G171"/>
  <c r="F167"/>
  <c r="F165"/>
  <c r="G148"/>
  <c r="E159"/>
  <c r="G159" s="1"/>
  <c r="B157"/>
  <c r="G157" s="1"/>
  <c r="G152"/>
  <c r="G150"/>
  <c r="F142"/>
  <c r="F144"/>
  <c r="F140"/>
  <c r="F137" s="1"/>
  <c r="F136"/>
  <c r="F134"/>
  <c r="C374"/>
  <c r="E374" s="1"/>
  <c r="C451"/>
  <c r="E216"/>
  <c r="F21"/>
  <c r="E373"/>
  <c r="E372"/>
  <c r="E362"/>
  <c r="E361"/>
  <c r="C375"/>
  <c r="E375" s="1"/>
  <c r="C371"/>
  <c r="E371" s="1"/>
  <c r="H83" i="9"/>
  <c r="I83" s="1"/>
  <c r="H93"/>
  <c r="I93" s="1"/>
  <c r="H92"/>
  <c r="I92" s="1"/>
  <c r="E415" i="14"/>
  <c r="F413" s="1"/>
  <c r="E412"/>
  <c r="E411"/>
  <c r="C364"/>
  <c r="E364" s="1"/>
  <c r="C365"/>
  <c r="E365" s="1"/>
  <c r="F753"/>
  <c r="C752"/>
  <c r="F752" s="1"/>
  <c r="C751"/>
  <c r="F751" s="1"/>
  <c r="C682"/>
  <c r="F682" s="1"/>
  <c r="C683"/>
  <c r="F683" s="1"/>
  <c r="F349"/>
  <c r="F348"/>
  <c r="D773"/>
  <c r="F773" s="1"/>
  <c r="D704"/>
  <c r="F704" s="1"/>
  <c r="D355"/>
  <c r="F355" s="1"/>
  <c r="E104"/>
  <c r="F772"/>
  <c r="F703"/>
  <c r="C455"/>
  <c r="C454"/>
  <c r="F832"/>
  <c r="F831"/>
  <c r="F830"/>
  <c r="F829"/>
  <c r="C828"/>
  <c r="F828" s="1"/>
  <c r="F416"/>
  <c r="E368"/>
  <c r="F366" s="1"/>
  <c r="E363"/>
  <c r="F813"/>
  <c r="F812"/>
  <c r="F811"/>
  <c r="F810"/>
  <c r="F809"/>
  <c r="F808"/>
  <c r="F807"/>
  <c r="C805"/>
  <c r="F805" s="1"/>
  <c r="C804"/>
  <c r="F804" s="1"/>
  <c r="D803"/>
  <c r="F803" s="1"/>
  <c r="F802"/>
  <c r="C801"/>
  <c r="F801" s="1"/>
  <c r="F800"/>
  <c r="F799"/>
  <c r="F798"/>
  <c r="F797"/>
  <c r="F796"/>
  <c r="D795"/>
  <c r="F795" s="1"/>
  <c r="C794"/>
  <c r="F794" s="1"/>
  <c r="D793"/>
  <c r="F793" s="1"/>
  <c r="E792"/>
  <c r="F792" s="1"/>
  <c r="C791"/>
  <c r="F791" s="1"/>
  <c r="F790"/>
  <c r="D789"/>
  <c r="F789" s="1"/>
  <c r="E788"/>
  <c r="F788" s="1"/>
  <c r="F786"/>
  <c r="F785"/>
  <c r="F784"/>
  <c r="F783"/>
  <c r="F782"/>
  <c r="E781"/>
  <c r="F781" s="1"/>
  <c r="E780"/>
  <c r="F780" s="1"/>
  <c r="F779"/>
  <c r="E778"/>
  <c r="F778" s="1"/>
  <c r="F777"/>
  <c r="E776"/>
  <c r="F776" s="1"/>
  <c r="F770"/>
  <c r="F769"/>
  <c r="F768"/>
  <c r="F767"/>
  <c r="F766"/>
  <c r="F765"/>
  <c r="F764"/>
  <c r="C762"/>
  <c r="F762" s="1"/>
  <c r="C761"/>
  <c r="F761" s="1"/>
  <c r="D760"/>
  <c r="F760" s="1"/>
  <c r="F759"/>
  <c r="C758"/>
  <c r="F758" s="1"/>
  <c r="F750"/>
  <c r="D749"/>
  <c r="F749" s="1"/>
  <c r="C748"/>
  <c r="F748" s="1"/>
  <c r="D747"/>
  <c r="F747" s="1"/>
  <c r="E746"/>
  <c r="F746" s="1"/>
  <c r="C745"/>
  <c r="F745" s="1"/>
  <c r="F744"/>
  <c r="D743"/>
  <c r="F743" s="1"/>
  <c r="E742"/>
  <c r="F742" s="1"/>
  <c r="C741"/>
  <c r="F741" s="1"/>
  <c r="D740"/>
  <c r="F740" s="1"/>
  <c r="F739"/>
  <c r="F738"/>
  <c r="F737"/>
  <c r="F736"/>
  <c r="E735"/>
  <c r="F735" s="1"/>
  <c r="E733"/>
  <c r="F733" s="1"/>
  <c r="E732"/>
  <c r="F732" s="1"/>
  <c r="F701"/>
  <c r="F700"/>
  <c r="F699"/>
  <c r="F698"/>
  <c r="F696"/>
  <c r="C693"/>
  <c r="F693" s="1"/>
  <c r="C692"/>
  <c r="F692" s="1"/>
  <c r="D691"/>
  <c r="F691" s="1"/>
  <c r="C689"/>
  <c r="F689" s="1"/>
  <c r="E677"/>
  <c r="F677" s="1"/>
  <c r="C676"/>
  <c r="F676" s="1"/>
  <c r="C679"/>
  <c r="F679" s="1"/>
  <c r="F681"/>
  <c r="D680"/>
  <c r="F680" s="1"/>
  <c r="D678"/>
  <c r="F678" s="1"/>
  <c r="D674"/>
  <c r="F674" s="1"/>
  <c r="E673"/>
  <c r="F673" s="1"/>
  <c r="E666"/>
  <c r="F666" s="1"/>
  <c r="E653"/>
  <c r="C672"/>
  <c r="F672" s="1"/>
  <c r="D671"/>
  <c r="F671" s="1"/>
  <c r="F669"/>
  <c r="E664"/>
  <c r="F664" s="1"/>
  <c r="E663"/>
  <c r="F663" s="1"/>
  <c r="F725"/>
  <c r="E724"/>
  <c r="F724" s="1"/>
  <c r="E723"/>
  <c r="F723" s="1"/>
  <c r="F722"/>
  <c r="F718"/>
  <c r="E721"/>
  <c r="F721" s="1"/>
  <c r="E717"/>
  <c r="F717" s="1"/>
  <c r="F720"/>
  <c r="E719"/>
  <c r="F719" s="1"/>
  <c r="F716"/>
  <c r="E715"/>
  <c r="F715" s="1"/>
  <c r="D714"/>
  <c r="F714" s="1"/>
  <c r="D713"/>
  <c r="F713" s="1"/>
  <c r="D712"/>
  <c r="F712" s="1"/>
  <c r="E711"/>
  <c r="D711"/>
  <c r="F710"/>
  <c r="F709"/>
  <c r="E708"/>
  <c r="F708" s="1"/>
  <c r="E707"/>
  <c r="F707" s="1"/>
  <c r="E659"/>
  <c r="F659" s="1"/>
  <c r="E657"/>
  <c r="F657" s="1"/>
  <c r="D655"/>
  <c r="F655" s="1"/>
  <c r="D656"/>
  <c r="F656" s="1"/>
  <c r="D654"/>
  <c r="F654" s="1"/>
  <c r="D653"/>
  <c r="F651"/>
  <c r="E650"/>
  <c r="F650" s="1"/>
  <c r="E649"/>
  <c r="F649" s="1"/>
  <c r="H173" i="9"/>
  <c r="I173" s="1"/>
  <c r="D615" i="14"/>
  <c r="F615" s="1"/>
  <c r="E311"/>
  <c r="F309" s="1"/>
  <c r="H190" i="9"/>
  <c r="I190" s="1"/>
  <c r="E215" i="14"/>
  <c r="E212"/>
  <c r="F245"/>
  <c r="C20"/>
  <c r="F20" s="1"/>
  <c r="C19"/>
  <c r="F19" s="1"/>
  <c r="F18"/>
  <c r="C17"/>
  <c r="F17" s="1"/>
  <c r="F14"/>
  <c r="F15"/>
  <c r="C16"/>
  <c r="F16" s="1"/>
  <c r="E72"/>
  <c r="F61"/>
  <c r="F55"/>
  <c r="H20" i="9"/>
  <c r="I20" s="1"/>
  <c r="H19"/>
  <c r="I19" s="1"/>
  <c r="H18"/>
  <c r="I18" s="1"/>
  <c r="E817" i="14"/>
  <c r="E818"/>
  <c r="E819"/>
  <c r="E820"/>
  <c r="E822"/>
  <c r="E823"/>
  <c r="E825"/>
  <c r="D824"/>
  <c r="E824" s="1"/>
  <c r="C821"/>
  <c r="E821" s="1"/>
  <c r="E816"/>
  <c r="E54"/>
  <c r="F52" s="1"/>
  <c r="H17" i="9"/>
  <c r="I17" s="1"/>
  <c r="D614" i="14"/>
  <c r="F614" s="1"/>
  <c r="F611"/>
  <c r="F612"/>
  <c r="F613"/>
  <c r="H161" i="9"/>
  <c r="I161" s="1"/>
  <c r="H54"/>
  <c r="I54" s="1"/>
  <c r="H160"/>
  <c r="I160" s="1"/>
  <c r="H159"/>
  <c r="I159" s="1"/>
  <c r="C453" i="14"/>
  <c r="C452"/>
  <c r="C447"/>
  <c r="C448"/>
  <c r="C449"/>
  <c r="C450"/>
  <c r="C446"/>
  <c r="C445"/>
  <c r="E408"/>
  <c r="F406" s="1"/>
  <c r="E392"/>
  <c r="E391"/>
  <c r="E390"/>
  <c r="E387"/>
  <c r="F385" s="1"/>
  <c r="E383"/>
  <c r="E384"/>
  <c r="C360"/>
  <c r="E360" s="1"/>
  <c r="D351"/>
  <c r="F351" s="1"/>
  <c r="C352"/>
  <c r="F352" s="1"/>
  <c r="C346"/>
  <c r="F346" s="1"/>
  <c r="E341"/>
  <c r="F341" s="1"/>
  <c r="E339"/>
  <c r="F339" s="1"/>
  <c r="E338"/>
  <c r="F338" s="1"/>
  <c r="F327"/>
  <c r="E296"/>
  <c r="E301"/>
  <c r="H66" i="9"/>
  <c r="I66" s="1"/>
  <c r="F281" i="14"/>
  <c r="H65" i="9"/>
  <c r="I65" s="1"/>
  <c r="H64"/>
  <c r="I64" s="1"/>
  <c r="C244" i="14"/>
  <c r="F244" s="1"/>
  <c r="C239"/>
  <c r="F239" s="1"/>
  <c r="E234"/>
  <c r="F234" s="1"/>
  <c r="E232"/>
  <c r="F232" s="1"/>
  <c r="E231"/>
  <c r="F231" s="1"/>
  <c r="E204"/>
  <c r="E205"/>
  <c r="E202"/>
  <c r="E103"/>
  <c r="C45"/>
  <c r="E45" s="1"/>
  <c r="H158" i="9"/>
  <c r="I158" s="1"/>
  <c r="H128"/>
  <c r="I128" s="1"/>
  <c r="H127"/>
  <c r="I127" s="1"/>
  <c r="H126"/>
  <c r="I126" s="1"/>
  <c r="H58"/>
  <c r="I58" s="1"/>
  <c r="H16"/>
  <c r="I16" s="1"/>
  <c r="H15"/>
  <c r="I15" s="1"/>
  <c r="H157"/>
  <c r="I157" s="1"/>
  <c r="H156"/>
  <c r="I156" s="1"/>
  <c r="H60"/>
  <c r="I60" s="1"/>
  <c r="H59"/>
  <c r="I59" s="1"/>
  <c r="H87"/>
  <c r="I87" s="1"/>
  <c r="H88"/>
  <c r="I88" s="1"/>
  <c r="H172"/>
  <c r="I172" s="1"/>
  <c r="F610" i="14"/>
  <c r="H164" i="9"/>
  <c r="I164" s="1"/>
  <c r="H84"/>
  <c r="I84" s="1"/>
  <c r="H80"/>
  <c r="H89"/>
  <c r="H155"/>
  <c r="I155" s="1"/>
  <c r="I7" i="16"/>
  <c r="H7"/>
  <c r="I6"/>
  <c r="H6"/>
  <c r="H112" i="9"/>
  <c r="I112" s="1"/>
  <c r="H10" i="16"/>
  <c r="I10"/>
  <c r="I11" s="1"/>
  <c r="H118" i="9"/>
  <c r="I118" s="1"/>
  <c r="H119"/>
  <c r="I119" s="1"/>
  <c r="H120"/>
  <c r="I120" s="1"/>
  <c r="H121"/>
  <c r="I121" s="1"/>
  <c r="H114"/>
  <c r="I114" s="1"/>
  <c r="H115"/>
  <c r="I115" s="1"/>
  <c r="H116"/>
  <c r="I116" s="1"/>
  <c r="H117"/>
  <c r="I117" s="1"/>
  <c r="H113"/>
  <c r="I113" s="1"/>
  <c r="H109"/>
  <c r="I109" s="1"/>
  <c r="H110"/>
  <c r="I110" s="1"/>
  <c r="H111"/>
  <c r="I111" s="1"/>
  <c r="H100"/>
  <c r="I100" s="1"/>
  <c r="H102"/>
  <c r="I102" s="1"/>
  <c r="H103"/>
  <c r="I103" s="1"/>
  <c r="H104"/>
  <c r="I104" s="1"/>
  <c r="H105"/>
  <c r="I105" s="1"/>
  <c r="H106"/>
  <c r="I106" s="1"/>
  <c r="H107"/>
  <c r="I107" s="1"/>
  <c r="H108"/>
  <c r="I108" s="1"/>
  <c r="H99"/>
  <c r="I99" s="1"/>
  <c r="H77"/>
  <c r="I77" s="1"/>
  <c r="I78" s="1"/>
  <c r="C30" i="12" s="1"/>
  <c r="F868" i="14"/>
  <c r="F866" s="1"/>
  <c r="H189" i="9"/>
  <c r="I189" s="1"/>
  <c r="I191" s="1"/>
  <c r="H165"/>
  <c r="I165" s="1"/>
  <c r="H166"/>
  <c r="I166" s="1"/>
  <c r="H167"/>
  <c r="I167" s="1"/>
  <c r="H168"/>
  <c r="I168" s="1"/>
  <c r="H169"/>
  <c r="I169" s="1"/>
  <c r="H170"/>
  <c r="I170" s="1"/>
  <c r="H90"/>
  <c r="I90" s="1"/>
  <c r="H91"/>
  <c r="I91" s="1"/>
  <c r="H94"/>
  <c r="I94" s="1"/>
  <c r="H95"/>
  <c r="I95" s="1"/>
  <c r="H96"/>
  <c r="I96" s="1"/>
  <c r="H82"/>
  <c r="I82" s="1"/>
  <c r="H81"/>
  <c r="I81" s="1"/>
  <c r="I80"/>
  <c r="H69"/>
  <c r="I69" s="1"/>
  <c r="H71"/>
  <c r="I71" s="1"/>
  <c r="H70"/>
  <c r="I70" s="1"/>
  <c r="H63"/>
  <c r="I63" s="1"/>
  <c r="I67" s="1"/>
  <c r="H57"/>
  <c r="I57" s="1"/>
  <c r="I61" s="1"/>
  <c r="H52"/>
  <c r="I52" s="1"/>
  <c r="H53"/>
  <c r="I53" s="1"/>
  <c r="H45"/>
  <c r="I45" s="1"/>
  <c r="H46"/>
  <c r="I46" s="1"/>
  <c r="H47"/>
  <c r="I47" s="1"/>
  <c r="H48"/>
  <c r="I48" s="1"/>
  <c r="H39"/>
  <c r="I39" s="1"/>
  <c r="H40"/>
  <c r="I40" s="1"/>
  <c r="H41"/>
  <c r="I41" s="1"/>
  <c r="H42"/>
  <c r="I42" s="1"/>
  <c r="H38"/>
  <c r="I38" s="1"/>
  <c r="H34"/>
  <c r="I34" s="1"/>
  <c r="H33"/>
  <c r="I33" s="1"/>
  <c r="H29"/>
  <c r="I29" s="1"/>
  <c r="H30"/>
  <c r="I30" s="1"/>
  <c r="H28"/>
  <c r="I28" s="1"/>
  <c r="H13"/>
  <c r="I13" s="1"/>
  <c r="H14"/>
  <c r="I14" s="1"/>
  <c r="H12"/>
  <c r="I12" s="1"/>
  <c r="E102" i="14"/>
  <c r="H11" i="9"/>
  <c r="I11" s="1"/>
  <c r="H154"/>
  <c r="I154" s="1"/>
  <c r="H153"/>
  <c r="I153" s="1"/>
  <c r="F863" i="14"/>
  <c r="I89" i="9"/>
  <c r="F233" i="14"/>
  <c r="E382"/>
  <c r="E199"/>
  <c r="E196"/>
  <c r="B26" i="13"/>
  <c r="B31"/>
  <c r="C39" s="1"/>
  <c r="B22"/>
  <c r="I8" i="16"/>
  <c r="I15" s="1"/>
  <c r="I16"/>
  <c r="I22" s="1"/>
  <c r="I75" i="9" l="1"/>
  <c r="C28" i="12" s="1"/>
  <c r="J29" s="1"/>
  <c r="I162" i="9"/>
  <c r="I97"/>
  <c r="I55"/>
  <c r="I182"/>
  <c r="C44" i="12" s="1"/>
  <c r="J45" s="1"/>
  <c r="I174" i="9"/>
  <c r="I187"/>
  <c r="J31" i="12"/>
  <c r="I124" i="9"/>
  <c r="C36" i="12" s="1"/>
  <c r="J37" s="1"/>
  <c r="H35"/>
  <c r="I41"/>
  <c r="I47"/>
  <c r="J50"/>
  <c r="C46"/>
  <c r="J47" s="1"/>
  <c r="I12" i="21"/>
  <c r="I17" s="1"/>
  <c r="I16"/>
  <c r="I21" s="1"/>
  <c r="I22" s="1"/>
  <c r="I8"/>
  <c r="F653" i="14"/>
  <c r="I23" i="21"/>
  <c r="I20"/>
  <c r="F423" i="14"/>
  <c r="D839"/>
  <c r="I26" i="9"/>
  <c r="F322" i="14"/>
  <c r="F616"/>
  <c r="F264"/>
  <c r="F99"/>
  <c r="F91"/>
  <c r="F87"/>
  <c r="F250"/>
  <c r="C24" i="12"/>
  <c r="J25" s="1"/>
  <c r="F380" i="14"/>
  <c r="F299"/>
  <c r="F358"/>
  <c r="F711"/>
  <c r="F705" s="1"/>
  <c r="G177"/>
  <c r="F174" s="1"/>
  <c r="F30"/>
  <c r="F73"/>
  <c r="F83"/>
  <c r="F313"/>
  <c r="F191"/>
  <c r="F12"/>
  <c r="F67"/>
  <c r="F229"/>
  <c r="F43"/>
  <c r="F284"/>
  <c r="F388"/>
  <c r="F443"/>
  <c r="F632"/>
  <c r="F409"/>
  <c r="I35" i="9"/>
  <c r="C16" i="12" s="1"/>
  <c r="J17" s="1"/>
  <c r="I43" i="9"/>
  <c r="C22" i="12"/>
  <c r="J23" s="1"/>
  <c r="C26"/>
  <c r="J27" s="1"/>
  <c r="I85" i="9"/>
  <c r="C32" i="12" s="1"/>
  <c r="J33" s="1"/>
  <c r="C40"/>
  <c r="J41" s="1"/>
  <c r="F608" i="14"/>
  <c r="F294"/>
  <c r="F162"/>
  <c r="F288"/>
  <c r="F826"/>
  <c r="F131"/>
  <c r="F110"/>
  <c r="F369"/>
  <c r="F336"/>
  <c r="F661"/>
  <c r="F154"/>
  <c r="F145"/>
  <c r="F168"/>
  <c r="I50" i="9"/>
  <c r="C20" i="12" s="1"/>
  <c r="J21" s="1"/>
  <c r="C42"/>
  <c r="J43" s="1"/>
  <c r="F814" i="14"/>
  <c r="F647"/>
  <c r="F730"/>
  <c r="F774"/>
  <c r="I20" i="16"/>
  <c r="I21" s="1"/>
  <c r="I19"/>
  <c r="I31" i="9"/>
  <c r="C14" i="12" s="1"/>
  <c r="J15" s="1"/>
  <c r="C34"/>
  <c r="J35" s="1"/>
  <c r="C18" l="1"/>
  <c r="J19" s="1"/>
  <c r="J50" i="9"/>
  <c r="I192"/>
  <c r="C38" i="12"/>
  <c r="J39" s="1"/>
  <c r="D836" i="14"/>
  <c r="F834" s="1"/>
  <c r="D842"/>
  <c r="F840" s="1"/>
  <c r="F837"/>
  <c r="F376"/>
  <c r="C12" i="12"/>
  <c r="J13" s="1"/>
  <c r="C50" l="1"/>
  <c r="G39" s="1"/>
  <c r="F51" l="1"/>
  <c r="E39"/>
  <c r="G43"/>
  <c r="D15"/>
  <c r="H45"/>
  <c r="G37"/>
  <c r="I51"/>
  <c r="E17"/>
  <c r="G31"/>
  <c r="E23"/>
  <c r="I39"/>
  <c r="D13"/>
  <c r="H39"/>
  <c r="F33"/>
  <c r="I43"/>
  <c r="G35"/>
  <c r="E21"/>
  <c r="D29"/>
  <c r="E51"/>
  <c r="H51"/>
  <c r="E29"/>
  <c r="I49"/>
  <c r="H25"/>
  <c r="G33"/>
  <c r="D17"/>
  <c r="H41"/>
  <c r="G51"/>
  <c r="I27"/>
  <c r="H43"/>
  <c r="F31"/>
  <c r="D51"/>
  <c r="J51" s="1"/>
  <c r="D19"/>
  <c r="H47"/>
</calcChain>
</file>

<file path=xl/sharedStrings.xml><?xml version="1.0" encoding="utf-8"?>
<sst xmlns="http://schemas.openxmlformats.org/spreadsheetml/2006/main" count="2276" uniqueCount="792">
  <si>
    <t xml:space="preserve"> ITEM </t>
  </si>
  <si>
    <t>COD. REF</t>
  </si>
  <si>
    <t>FONTE</t>
  </si>
  <si>
    <t xml:space="preserve"> DISCRIMINAÇÃO </t>
  </si>
  <si>
    <t>SERVIÇOS PRELIMINARES</t>
  </si>
  <si>
    <t>m²</t>
  </si>
  <si>
    <t>01.02</t>
  </si>
  <si>
    <t>m³</t>
  </si>
  <si>
    <t>SUB-TOTAL</t>
  </si>
  <si>
    <t>MOVIMENTO DE TERRA</t>
  </si>
  <si>
    <t>kg</t>
  </si>
  <si>
    <t>PINTURA</t>
  </si>
  <si>
    <t>SERVIÇOS COMPLEMENTARES EXTERNOS</t>
  </si>
  <si>
    <t>TOTAL</t>
  </si>
  <si>
    <t>Unid</t>
  </si>
  <si>
    <t>Quant</t>
  </si>
  <si>
    <t>P. Total</t>
  </si>
  <si>
    <t>m</t>
  </si>
  <si>
    <t xml:space="preserve"> </t>
  </si>
  <si>
    <r>
      <rPr>
        <b/>
        <sz val="11"/>
        <rFont val="Arial Narrow"/>
        <family val="2"/>
      </rPr>
      <t xml:space="preserve">PROPRIETÁRIO: </t>
    </r>
    <r>
      <rPr>
        <sz val="11"/>
        <rFont val="Arial Narrow"/>
        <family val="2"/>
      </rPr>
      <t>PREFEITURA MUNICIPAL DE SÃO MATEUS</t>
    </r>
  </si>
  <si>
    <t xml:space="preserve">ITEM </t>
  </si>
  <si>
    <t>DESCRIÇÃO DOS SERVIÇOS</t>
  </si>
  <si>
    <t>UND.</t>
  </si>
  <si>
    <t>QUANT.</t>
  </si>
  <si>
    <t>01.03</t>
  </si>
  <si>
    <t>ITEM</t>
  </si>
  <si>
    <t>SERVIÇOS</t>
  </si>
  <si>
    <t>VALORES</t>
  </si>
  <si>
    <t>01º MÊS</t>
  </si>
  <si>
    <t>02º MÊS</t>
  </si>
  <si>
    <t>03º MÊS</t>
  </si>
  <si>
    <t>04º MÊS</t>
  </si>
  <si>
    <t>05º MÊS</t>
  </si>
  <si>
    <t>06º MÊS</t>
  </si>
  <si>
    <t>CRONOGRAMA FÍSICO-FINANCEIRO</t>
  </si>
  <si>
    <t>P.Unit com BDI</t>
  </si>
  <si>
    <t>TOTAL COM BDI</t>
  </si>
  <si>
    <t>IOPES</t>
  </si>
  <si>
    <r>
      <t xml:space="preserve">
</t>
    </r>
    <r>
      <rPr>
        <b/>
        <sz val="10"/>
        <rFont val="Arial"/>
        <family val="2"/>
      </rPr>
      <t>PREFEITURA MUNICIPAL DE SÃO MATEUS
Estado do Espírito Santo
Secretaria Municipal de Obras, Infraestrutura e Transporte
Departamento Engenharia</t>
    </r>
  </si>
  <si>
    <t xml:space="preserve">Cálculo do BDI - Benefícios e Despesas Indiretas </t>
  </si>
  <si>
    <t>Descrevemos abaixo as considerações feitas para a formação do BDI:</t>
  </si>
  <si>
    <t>I – Incidências sobre o custo</t>
  </si>
  <si>
    <t>Administração Central</t>
  </si>
  <si>
    <t>%</t>
  </si>
  <si>
    <t>Despesas Financeiras</t>
  </si>
  <si>
    <t>Riscos</t>
  </si>
  <si>
    <t xml:space="preserve">Garantia contratual </t>
  </si>
  <si>
    <t>Lucro</t>
  </si>
  <si>
    <t>Total (A)</t>
  </si>
  <si>
    <t>II – Incidências sobre o preço de venda</t>
  </si>
  <si>
    <t>Despesas Tributárias</t>
  </si>
  <si>
    <t>ISS</t>
  </si>
  <si>
    <t>COFINS</t>
  </si>
  <si>
    <t>PIS</t>
  </si>
  <si>
    <t>CPRB</t>
  </si>
  <si>
    <t>Total (I)</t>
  </si>
  <si>
    <t>III – Demonstrativo de cálculo do BDI</t>
  </si>
  <si>
    <t>onde:
AC = taxa de rateio da Administração Central;
DF = taxa das despesas financeiras;
R = taxa de risco, seguro e garantia do empreendimento;
I = taxa de tributos;
L = taxa de lucro.</t>
  </si>
  <si>
    <t>ENG. ARI MARCOS FIGUEIREDO SOUSA</t>
  </si>
  <si>
    <t>Coordenador de projetos de Engenharia e Arquitetura</t>
  </si>
  <si>
    <t>CREA BA 69495 D / DECRETO 7274/2014</t>
  </si>
  <si>
    <t>____________________________________________________</t>
  </si>
  <si>
    <t>ARI MARCOS FIGUEIREDO SOUSA</t>
  </si>
  <si>
    <t>OBRA OU SERVIÇO:  MURO PRÉ-MOLDADO CASA DO PESCADO</t>
  </si>
  <si>
    <t>LOCAL:  LOTES DE Nº 01,02,03,04, DA QUADRA 84, LOTEAMENTO PRAIA DE GURIRI, MARIRICU, S. MATEUS-ES.</t>
  </si>
  <si>
    <t>INSTALAÇÃO DO CANTEIRO DE OBRAS</t>
  </si>
  <si>
    <t>ESTRUTURAS</t>
  </si>
  <si>
    <t>PAREDES E PAINEIS</t>
  </si>
  <si>
    <t>ESQUADRIAS DE MADEIRA</t>
  </si>
  <si>
    <t>und</t>
  </si>
  <si>
    <t>ESQUADRIAS METÁLICA</t>
  </si>
  <si>
    <t>COBERTURA</t>
  </si>
  <si>
    <t>TETOS E FORROS</t>
  </si>
  <si>
    <t>Forro PVC branco L = 20 cm, frisado, colocado</t>
  </si>
  <si>
    <t>REVESTIMENTO DE PAREDES</t>
  </si>
  <si>
    <t>PISOS INTERNOS E EXTERNOS</t>
  </si>
  <si>
    <t>Bacia sifonada de louça branca para portadores de necessidades especiais, Vogue Plus Conforto - Linha Conforto, mod P51, incl. assento com abertura frontal, ref.AP52,marca de ref. Deca ou equivalente</t>
  </si>
  <si>
    <t>Torneira pressão cromada diâm. 1/2" para lavatório, marcas de referência Fabrimar, Deca ou Docol</t>
  </si>
  <si>
    <t>Válvula de descarga com canopla cromada de 40mm (11/4"), marcas de referência Fabrimar, Deca ou Docol</t>
  </si>
  <si>
    <t>SERVIÇOS COMPLEMENTARES INTERNOS</t>
  </si>
  <si>
    <t>Barra de apoio de ferro galvanizado, diâm. 3 cm, comprimento de 80 cm, para sanitário deficientes, inclusive pintura</t>
  </si>
  <si>
    <t>01.05</t>
  </si>
  <si>
    <t>02.03</t>
  </si>
  <si>
    <t>04.02</t>
  </si>
  <si>
    <t>05.01</t>
  </si>
  <si>
    <t>08.01</t>
  </si>
  <si>
    <t>P.Unit na tabela</t>
  </si>
  <si>
    <t>03.01</t>
  </si>
  <si>
    <t>03.02</t>
  </si>
  <si>
    <t>04.01.01</t>
  </si>
  <si>
    <t>04.01.02</t>
  </si>
  <si>
    <t>04.01.03</t>
  </si>
  <si>
    <t>04.01.04</t>
  </si>
  <si>
    <t>SINAPI</t>
  </si>
  <si>
    <t>04.01.05</t>
  </si>
  <si>
    <t>04.01</t>
  </si>
  <si>
    <t xml:space="preserve">INFRA ESTRUTURA </t>
  </si>
  <si>
    <t>01.04</t>
  </si>
  <si>
    <t>01.07</t>
  </si>
  <si>
    <t>02.01</t>
  </si>
  <si>
    <t>02.02</t>
  </si>
  <si>
    <t xml:space="preserve">SUPER ESTRUTURA </t>
  </si>
  <si>
    <t>04.02.01</t>
  </si>
  <si>
    <t>04.02.02</t>
  </si>
  <si>
    <t>04.02.03</t>
  </si>
  <si>
    <t>04.02.04</t>
  </si>
  <si>
    <t>07.01</t>
  </si>
  <si>
    <t>11.01</t>
  </si>
  <si>
    <t>11.02</t>
  </si>
  <si>
    <t>11.03</t>
  </si>
  <si>
    <t>11.04</t>
  </si>
  <si>
    <t>10.01</t>
  </si>
  <si>
    <t>12.01</t>
  </si>
  <si>
    <t>17.01</t>
  </si>
  <si>
    <t xml:space="preserve">                         SUB-TOTAL</t>
  </si>
  <si>
    <t>MEMÓRIA DE CÁLCULO</t>
  </si>
  <si>
    <t>Data emissão</t>
  </si>
  <si>
    <t>Revisão 00</t>
  </si>
  <si>
    <t>m3</t>
  </si>
  <si>
    <t>LOCAL</t>
  </si>
  <si>
    <t>COMPR.</t>
  </si>
  <si>
    <t>LARG.</t>
  </si>
  <si>
    <t>ALT.</t>
  </si>
  <si>
    <t xml:space="preserve">m2 </t>
  </si>
  <si>
    <t xml:space="preserve">Nova placa com dados do contrato </t>
  </si>
  <si>
    <t>Estimativa de novo barracão para utilização da nova empresa</t>
  </si>
  <si>
    <t>ALTURA</t>
  </si>
  <si>
    <t>ESTRUTURA</t>
  </si>
  <si>
    <t>4.01</t>
  </si>
  <si>
    <t xml:space="preserve">INFRA-ESTRUTURA </t>
  </si>
  <si>
    <t>LARGURA</t>
  </si>
  <si>
    <t xml:space="preserve"> ALTURA</t>
  </si>
  <si>
    <t>4.02</t>
  </si>
  <si>
    <t xml:space="preserve">SUPER-ESTRUTURA </t>
  </si>
  <si>
    <t>m2</t>
  </si>
  <si>
    <t xml:space="preserve">m </t>
  </si>
  <si>
    <t>ACRÉSCIMO (IOPES)</t>
  </si>
  <si>
    <t>porta</t>
  </si>
  <si>
    <t>DESCONTO</t>
  </si>
  <si>
    <t>parede lateral 1</t>
  </si>
  <si>
    <t>área tirada em cad</t>
  </si>
  <si>
    <t>ÁREA</t>
  </si>
  <si>
    <t>área do chapisco - área do emboço = área do reboco</t>
  </si>
  <si>
    <t xml:space="preserve">m2  </t>
  </si>
  <si>
    <t>INSTALAÇÕES HIDRO-SANITÁRIAS</t>
  </si>
  <si>
    <t>APARELHOS HIDRO-SANITÁRIOS</t>
  </si>
  <si>
    <t>COMPOSIÇÃO 03</t>
  </si>
  <si>
    <t>01.01</t>
  </si>
  <si>
    <t>COMP.</t>
  </si>
  <si>
    <r>
      <rPr>
        <b/>
        <sz val="10"/>
        <rFont val="Arial Narrow"/>
        <family val="2"/>
      </rPr>
      <t xml:space="preserve">PROPRIETÁRIO: </t>
    </r>
    <r>
      <rPr>
        <sz val="10"/>
        <rFont val="Arial Narrow"/>
        <family val="2"/>
      </rPr>
      <t xml:space="preserve">PREFEITURA MUNICIPAL DE SÃO MATEUS </t>
    </r>
  </si>
  <si>
    <t>janela 1</t>
  </si>
  <si>
    <t>janela 2</t>
  </si>
  <si>
    <t>sala 03</t>
  </si>
  <si>
    <t>Sub-Total</t>
  </si>
  <si>
    <t>Mão-de-Obra</t>
  </si>
  <si>
    <t>H</t>
  </si>
  <si>
    <t xml:space="preserve">Sub-Total : </t>
  </si>
  <si>
    <t>Materiais</t>
  </si>
  <si>
    <t xml:space="preserve">Discriminação </t>
  </si>
  <si>
    <t xml:space="preserve">Taxa (%) </t>
  </si>
  <si>
    <t>Valores</t>
  </si>
  <si>
    <t>Materias (B)</t>
  </si>
  <si>
    <t>Equipamentos (C)</t>
  </si>
  <si>
    <t>Produção da Equipe (D)</t>
  </si>
  <si>
    <t>Custo Horário Total [(A)+(C)]</t>
  </si>
  <si>
    <t>Custo Unitário da Execução [(A)+(C)/(D)]=(E)</t>
  </si>
  <si>
    <t>Custo Direto Total [(B)+(E)]</t>
  </si>
  <si>
    <t>Custo Unitário (adotado)</t>
  </si>
  <si>
    <t>PERÍMETRO</t>
  </si>
  <si>
    <t>REV. 00</t>
  </si>
  <si>
    <t>SERVIÇOS COMPLEMENTARES INTERIORES</t>
  </si>
  <si>
    <t>Lavátorio de canto Coleção Master - ref. L76 marca de ref. Deca ou equivalente, inclusive válvula, sifão e engates cromados, exclusive torneira,para PNE</t>
  </si>
  <si>
    <t>Insumo</t>
  </si>
  <si>
    <t>Unid.</t>
  </si>
  <si>
    <t>Código</t>
  </si>
  <si>
    <t>Coefic.</t>
  </si>
  <si>
    <t>C. Prod.</t>
  </si>
  <si>
    <t>Pr. Prod.</t>
  </si>
  <si>
    <t>Pr. Impr.</t>
  </si>
  <si>
    <t>Pr. Unit.</t>
  </si>
  <si>
    <t xml:space="preserve">Sub-Total :  </t>
  </si>
  <si>
    <t>Mão-de-Obra (A) - Encargos desonerados</t>
  </si>
  <si>
    <t>*OBS: Não foi adotado BDI nesta composição</t>
  </si>
  <si>
    <t>01.06</t>
  </si>
  <si>
    <t>Ø</t>
  </si>
  <si>
    <t>KG/M</t>
  </si>
  <si>
    <t>VEZES</t>
  </si>
  <si>
    <t>pilares</t>
  </si>
  <si>
    <t xml:space="preserve"> LADOS</t>
  </si>
  <si>
    <t xml:space="preserve">
</t>
  </si>
  <si>
    <t>4.1</t>
  </si>
  <si>
    <t xml:space="preserve">ESTRUTURA - INFRA ESTRUTURA </t>
  </si>
  <si>
    <t>4.2</t>
  </si>
  <si>
    <t xml:space="preserve">ESTRUTURA - SUPER ESTRUTURA </t>
  </si>
  <si>
    <t>05.02</t>
  </si>
  <si>
    <t>06.02</t>
  </si>
  <si>
    <t>parede lateral 2 (área tirada em cad)</t>
  </si>
  <si>
    <t>sala 04</t>
  </si>
  <si>
    <t>sala 05</t>
  </si>
  <si>
    <t>parede fundos</t>
  </si>
  <si>
    <t>Demolição de piso revestido com cerâmica inclusive lastro de concreto</t>
  </si>
  <si>
    <t>RESUMO:</t>
  </si>
  <si>
    <t>DEMOLICAO DE ALVENARIA DE TIJOLOS FURADOS S/REAPROVEITAMENTO</t>
  </si>
  <si>
    <t>73899/002</t>
  </si>
  <si>
    <t>RETIRADA DE TELHAS ONDULADAS</t>
  </si>
  <si>
    <t>74220/001</t>
  </si>
  <si>
    <t>74209/001</t>
  </si>
  <si>
    <t>74210/001</t>
  </si>
  <si>
    <t>TAPUME DE CHAPA DE MADEIRA COMPENSADA, E= 6MM, COM PINTURA A CAL E REAPROVEITAMENTO DE 2X</t>
  </si>
  <si>
    <t>PLACA DE OBRA EM CHAPA DE ACO GALVANIZADO</t>
  </si>
  <si>
    <t>BARRACAO PARA DEPOSITO EM TABUAS DE MADEIRA, COBERTURA EM FIBROCIMENTO 4 MM, INCLUSO PISO ARGAMASSA TRAÇO 1:6 (CIMENTO E AREIA)</t>
  </si>
  <si>
    <t>Proteção em volta da obra (perímetro tirado em cad), altura adotada 2,20m</t>
  </si>
  <si>
    <t>ESCAVACAO MANUAL DE VALAS EM TERRA COMPACTA, PROF. 2 M &lt; H &lt;= 3 M</t>
  </si>
  <si>
    <t>REATERRO APILOADO EM CAMADAS 0,20M, UTILIZANDO MATERIAL ARGILO-ARENOSOADQUIRIDO EM JAZIDA, JÁ CONSIDERANDO UM ACRÉSCIMO DE 25% NO VOLUME DO MATERIAL ADQUIRIDO, NÃO CONSIDERANDO O TRANSPORTE ATÉ O REATERRO</t>
  </si>
  <si>
    <t>74138/003</t>
  </si>
  <si>
    <t>74254/002</t>
  </si>
  <si>
    <t>73942/002</t>
  </si>
  <si>
    <t>ARMACAO ACO CA-50, DIAM. 6,3 (1/4) À 12,5MM(1/2) -FORNECIMENTO/ CORTE(PERDA DE 10%) / DOBRA / COLOCAÇÃO.</t>
  </si>
  <si>
    <t>ARMACAO DE ACO CA-60 DIAM. 3,4 A 6,0MM.- FORNECIMENTO / CORTE (C/PERDA DE 10%) / DOBRA / COLOCAÇÃO.</t>
  </si>
  <si>
    <t>CONCRETO USINADO BOMBEADO FCK=25MPA, INCLUSIVE LANCAMENTO E ADENSAMENTO</t>
  </si>
  <si>
    <t>CONCRETO NAO ESTRUTURAL, CONSUMO 210KG/M3, PREPARO COM BETONEIRA, SEM LANCAMENTO</t>
  </si>
  <si>
    <t>FORMA TABUA PARA CONCRETO EM FUNDACAO C/ REAPROVEITAMENTO 5X</t>
  </si>
  <si>
    <t>FORMA PARA ESTRUTURAS DE CONCRETO (PILAR, VIGA E LAJE) EM CHAPA DE MADEIRA COMPENSADA RESINADA, DE 1,10 X 2,20, ESPESSURA = 12 MM, 05 UTILIZACOES. (FABRICACAO, MONTAGEM E DESMONTAGEM)</t>
  </si>
  <si>
    <t>74200/001</t>
  </si>
  <si>
    <t>VERGA 10X10CM EM CONCRETO PRÉ-MOLDADO FCK=20MPA (PREPARO COM BETONEIRA) AÇO CA60, BITOLA FINA, INCLUSIVE FORMAS TABUA 3A.</t>
  </si>
  <si>
    <t>74067/001</t>
  </si>
  <si>
    <t>JANELA DE CORRER EM ALUMINIO, COM QUATRO FOLHAS PARA VIDRO, DUAS FIXAS E DUAS MOVEIS, INCLUSO GUARNICAO E VIDRO LISO INCOLOR</t>
  </si>
  <si>
    <t>16.01</t>
  </si>
  <si>
    <t>11.05</t>
  </si>
  <si>
    <t>11.06</t>
  </si>
  <si>
    <t>11.07</t>
  </si>
  <si>
    <t>10.02</t>
  </si>
  <si>
    <t>10.03</t>
  </si>
  <si>
    <t>10.04</t>
  </si>
  <si>
    <t>9.01</t>
  </si>
  <si>
    <t>08.02</t>
  </si>
  <si>
    <t>08.03</t>
  </si>
  <si>
    <t>REVESTIMENTO CERÂMICO PARA PISO COM PLACAS TIPO GRÊS DE DIMENSÕES 35X35 CM APLICADA EM AMBIENTES DE ÁREA MENOR QUE 5 M2. AF_06/2014</t>
  </si>
  <si>
    <t>SOLEIRA DE MARMORE BRANCO, LARGURA 15CM, ESPESSURA 3CM, ASSENTADA SOBRE ARGAMASSA TRACO 1:4 (CIMENTO E AREIA)</t>
  </si>
  <si>
    <t>PEITORIL EM MARMORE BRANCO, LARGURA DE 15CM, ASSENTADO COM ARGAMASSA TRACO 1:4 (CIMENTO E AREIA MEDIA), PREPARO MANUAL DA ARGAMASSA</t>
  </si>
  <si>
    <t>RODAPÉ CERÂMICO DE 7CM DE ALTURA COM PLACAS TIPO GRÊS DE DIMENSÕES 35X35CM. AF_06/2014</t>
  </si>
  <si>
    <t>74245/001</t>
  </si>
  <si>
    <t>PINTURA ACRILICA EM PISO CIMENTADO DUAS DEMAOS</t>
  </si>
  <si>
    <t>APLICAÇÃO DE FUNDO SELADOR LÁTEX PVA EM PAREDES, UMA DEMÃO. AF_06/2014</t>
  </si>
  <si>
    <t>APLICAÇÃO DE FUNDO SELADOR ACRÍLICO EM PAREDES, UMA DEMÃO. AF_06/2014</t>
  </si>
  <si>
    <t>APLICAÇÃO MANUAL DE PINTURA COM TINTA LÁTEX PVA EM PAREDES, DUAS DEMÃOS. AF_06/2014</t>
  </si>
  <si>
    <t>APLICAÇÃO MANUAL DE PINTURA COM TINTA LÁTEX ACRÍLICA EM PAREDES, DUAS DEMÃOS. AF_06/2014</t>
  </si>
  <si>
    <t>74103/001</t>
  </si>
  <si>
    <t>LIMPEZA FINAL DA OBRA</t>
  </si>
  <si>
    <t>ESCADA TIPO MARINHEIRO EM ACO CA-50 12,5", INCLUSO PINTURA COM FUNDO ANTICORROSIVO TIPO ZARCAO</t>
  </si>
  <si>
    <t>12.02</t>
  </si>
  <si>
    <t>12.03</t>
  </si>
  <si>
    <t>12.04</t>
  </si>
  <si>
    <t>12.05</t>
  </si>
  <si>
    <t>12.06</t>
  </si>
  <si>
    <t>74058/002</t>
  </si>
  <si>
    <t>12.07</t>
  </si>
  <si>
    <t>12.08</t>
  </si>
  <si>
    <t>12.09</t>
  </si>
  <si>
    <t>12.10</t>
  </si>
  <si>
    <t>12.11</t>
  </si>
  <si>
    <t>12.12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</si>
  <si>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</si>
  <si>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</si>
  <si>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</si>
  <si>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</si>
  <si>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</si>
  <si>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</si>
  <si>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</si>
  <si>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</si>
  <si>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</si>
  <si>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74175/001</t>
  </si>
  <si>
    <t>12.22</t>
  </si>
  <si>
    <t>12.23</t>
  </si>
  <si>
    <t>12.24</t>
  </si>
  <si>
    <t>12.25</t>
  </si>
  <si>
    <t>TUBO, PVC, SOLDÁVEL, DN 25MM, INSTALADO EM PRUMADA DE ÁGUA FORNECIMENTO E INSTALAÇÃO. AF_12/2014_P</t>
  </si>
  <si>
    <t>JOELHO 90 GRAUS, PVC, SOLDÁVEL, DN 25MM, INSTALADO EM RAMAL OU SUB-RAMAL DE ÁGUA FORNECIMENTO E INSTALAÇÃO . AF_12/2014_P</t>
  </si>
  <si>
    <t>ADAPTADOR CURTO COM BOLSA E ROSCA PARA REGISTRO, PVC, SOLDÁVEL, DN 25MM X 3/4, INSTALADO EM RAMAL OU SUB-RAMAL DE ÁGUA FORNECIMENTO E INSTALAÇÃO. AF_12/2014_P</t>
  </si>
  <si>
    <t>REGISTRO DE GAVETA BRUTO, LATÃO, ROSCÁVEL, 3/4, FORNECIDO E INSTALADO EM RAMAL DE ÁGUA. AF_12/2014</t>
  </si>
  <si>
    <t>ADAPTADOR PVC SOLDAVEL COM FLANGES E ANEL PARA CAIXA D'AGUA 25MMX3/4" - FORNECIMENTO E INSTALACAO</t>
  </si>
  <si>
    <t>TORNEIRA DE BOIA VAZAO TOTAL 3/4 COM BALAO PLASTICO - FORNECIMENTO E INSTALACAO</t>
  </si>
  <si>
    <t>ADAPTADOR PVC SOLDAVEL COM FLANGES E ANEL PARA CAIXA D'AGUA 32MMX1" - FORNECIMENTO E INSTALACAO</t>
  </si>
  <si>
    <t>TUBO, PVC, SOLDÁVEL, DN 32MM, INSTALADO EM PRUMADA DE ÁGUA FORNECIMENTO E INSTALAÇÃO. AF_12/2014_P</t>
  </si>
  <si>
    <t>JOELHO 90 GRAUS, PVC, SOLDÁVEL, DN 32MM, INSTALADO EM RAMAL OU SUB-RAMAL DE ÁGUA FORNECIMENTO E INSTALAÇÃO . AF_12/2014_P</t>
  </si>
  <si>
    <t>REGISTRO GAVETA 1" COM CANOPLA ACABAMENTO CROMADO SIMPLES - FORNECIMENTO E INSTALACAO</t>
  </si>
  <si>
    <t>TÊ DE REDUÇÃO, PVC, SOLDÁVEL, DN 32MM X 25MM, INSTALADO EM RAMAL OU SUB-RAMAL DE ÁGUA FORNECIMENTO E INSTALAÇÃO. AF_12/2014_P</t>
  </si>
  <si>
    <t>TUBO, PVC, SOLDÁVEL, DN 32MM, INSTALADO EM RAMAL OU SUB-RAMAL DE ÁGUA FORNECIMENTO E INSTALAÇÃO . AF_12/2014_P</t>
  </si>
  <si>
    <t>TUBO, PVC, SOLDÁVEL, DN 25MM, INSTALADO EM RAMAL OU SUB-RAMAL DE ÁGUA FORNECIMENTO E INSTALAÇÃO . AF_12/2014_P</t>
  </si>
  <si>
    <t>JOELHO 45 GRAUS, PVC, SOLDÁVEL, DN 32MM, INSTALADO EM RAMAL OU SUB-RAMAL DE ÁGUA FORNECIMENTO E INSTALAÇÃO . AF_12/2014_P</t>
  </si>
  <si>
    <t>TUBO PVC, SERIE NORMAL, ESGOTO PREDIAL, DN 100 MM, FORNECIDO E INSTALADO EM RAMAL DE DESCARGA OU RAMAL DE ESGOTO SANITÁRIO. AF_12/2014_P</t>
  </si>
  <si>
    <t>JOELHO 90 GRAUS, PVC, SERIE NORMAL, ESGOTO PREDIAL, DN 100 MM, JUNTA ELÁSTICA, FORNECIDO E INSTALADO EM RAMAL DE DESCARGA OU RAMAL DE ESGOTO SANITÁRIO. AF_12/2014</t>
  </si>
  <si>
    <t>CAP PVC ESGOTO 100MM (TAMPÃO) - FORNECIMENTO E INSTALAÇÃO</t>
  </si>
  <si>
    <t>JUNÇÃO SIMPLES, PVC, SERIE NORMAL, ESGOTO PREDIAL, DN 100 X 100 MM, JUNTA ELÁSTICA, FORNECIDO E INSTALADO EM RAMAL DE DESCARGA OU RAMAL DE ESGOTO SANITÁRIO. AF_12/2014</t>
  </si>
  <si>
    <t>TUBO PVC, SERIE NORMAL, ESGOTO PREDIAL, DN 40 MM, FORNECIDO E INSTALADO EM RAMAL DE DESCARGA OU RAMAL DE ESGOTO SANITÁRIO. AF_12/2014_P</t>
  </si>
  <si>
    <t>JOELHO 90 GRAUS, PVC, SERIE NORMAL, ESGOTO PREDIAL, DN 40 MM, JUNTA SOLDÁVEL, FORNECIDO E INSTALADO EM RAMAL DE DESCARGA OU RAMAL DE ESGOTO SANITÁRIO. AF_12/2014_P</t>
  </si>
  <si>
    <t>JOELHO 45 GRAUS, PVC, SERIE NORMAL, ESGOTO PREDIAL, DN 40 MM, JUNTA SOLDÁVEL, FORNECIDO E INSTALADO EM RAMAL DE DESCARGA OU RAMAL DE ESGOTO SANITÁRIO. AF_12/2014_P</t>
  </si>
  <si>
    <t>CAIXA SIFONADA, PVC, DN 100 X 100 X 50 MM, JUNTA ELÁSTICA, FORNECIDA E INSTALADA EM RAMAL DE DESCARGA OU EM RAMAL DE ESGOTO SANITÁRIO. AF_12/2014_P</t>
  </si>
  <si>
    <t>ENCANADOR OU BOMBEIRO HIDRÁULICO COM ENCARGOS COMPLEMENTARES</t>
  </si>
  <si>
    <t>AUXILIAR DE ENCANADOR OU BOMBEIRO HIDRÁULICO COM ENCARGOS COMPLEMENTARES</t>
  </si>
  <si>
    <t>SINAPI 88248</t>
  </si>
  <si>
    <t>SINAPI 88267</t>
  </si>
  <si>
    <t>CAIXA D'AGUA EM POLIETILENO 500 LITROS, COM TAMPA</t>
  </si>
  <si>
    <t>UND</t>
  </si>
  <si>
    <t xml:space="preserve">INSTALAÇÕES HIDRO-SANITÁRIAS </t>
  </si>
  <si>
    <t>14.01</t>
  </si>
  <si>
    <t>14.02</t>
  </si>
  <si>
    <t>14.03</t>
  </si>
  <si>
    <t>14.04</t>
  </si>
  <si>
    <t xml:space="preserve">APARELHOS HIDRO-SANITÁRIOS </t>
  </si>
  <si>
    <t>DUCHA HIGIENICA COM MANGUEIRA PLASTICA E REGISTRO 1/2 - LINHA POPULAR</t>
  </si>
  <si>
    <t>SINAPI 01370</t>
  </si>
  <si>
    <t>*Como referência foi utilizado o item 170304 do IOPES</t>
  </si>
  <si>
    <t>14.05</t>
  </si>
  <si>
    <t>Conforme Projeto Hidro-Sanitário</t>
  </si>
  <si>
    <t>ADAPTADOR CURTO COM BOLSA E ROSCA PARA REGISTRO, PVC, SOLDÁVEL, DN 32MM X 1, INSTALADO EM RAMAL OU SUB-RAMAL DE ÁGUA FORNECIMENTO E INSTALAÇÃO. AF_12/2014_P</t>
  </si>
  <si>
    <t>13.01</t>
  </si>
  <si>
    <t>13.02</t>
  </si>
  <si>
    <t>13.03</t>
  </si>
  <si>
    <t>13.04</t>
  </si>
  <si>
    <t>13.05</t>
  </si>
  <si>
    <t>ELETRODUTO DE ACO GALVANIZADO ELETROLITICO DN 40MM (1 1/2"), TIPO SEMI -PESADO, INCLUSIVE CONEXOES - FORNECIMENTO E INSTALACAO</t>
  </si>
  <si>
    <t xml:space="preserve">CAIXA DE PASSAGEM 80X80X62 FUNDO BRITA COM TAMPA </t>
  </si>
  <si>
    <t xml:space="preserve">CABO DE COBRE NU 25MM2 - FORNECIMENTO E INSTALACAO </t>
  </si>
  <si>
    <t xml:space="preserve">HASTE COPPERWELD 5/8 X 3,0M COM CONECTOR </t>
  </si>
  <si>
    <t>74131/006</t>
  </si>
  <si>
    <t>73953/006</t>
  </si>
  <si>
    <t>73953/002</t>
  </si>
  <si>
    <t>LUMINARIA TIPO CALHA, DE SOBREPOR, COM REATOR DE PARTIDA RAPIDA E LAMPADA FLUORESCENTE 2X20W, COMPLETA, FORNECIMENTO E INSTALACAO</t>
  </si>
  <si>
    <t>LUMINARIA FECHADA PARA ILUMINACAO PUBLICA COM REATOR DE PARTIDA RAPIDA COM LAMPADA A VAPOR DE MERCURIO 250W - FORNECIMENTO E INSTALACAO</t>
  </si>
  <si>
    <t>ELETRODUTO DE PVC FLEXIVEL CORRUGADO DN 25MM (1") FORNECIMENTO E INSTALACAO</t>
  </si>
  <si>
    <t>73861/004</t>
  </si>
  <si>
    <t>CONDULETE 1/2" EM LIGA DE ALUMÍNIO FUNDIDO TIPO "C" - FORNECIMENTO E INSTALACAO</t>
  </si>
  <si>
    <t>73860/008</t>
  </si>
  <si>
    <t>CABO DE COBRE ISOLADO PVC 450/750V 2,5MM2 RESISTENTE A CHAMA - FORNECIMENTO E INSTALACAO</t>
  </si>
  <si>
    <t>INTERRUPTOR SIMPLES DE EMBUTIR 10A/250V 1 TECLA, SEM PLACA - FORNECIMENTO E INSTALACAO</t>
  </si>
  <si>
    <t>INTERRUPTOR SIMPLES DE EMBUTIR 10A/250V 2 TECLAS, COM PLACA - FORNECIMENTO E INSTALACAO</t>
  </si>
  <si>
    <t>INTERRUPTOR SIMPLES DE EMBUTIR 10A/250V 3 TECLAS, COM PLACA - FORNECIMENTO E INSTALACAO</t>
  </si>
  <si>
    <t>INTERRUPTOR BIPOLAR DE EMBUTIR 20A/250V, TECLA DUPLA C/ PLACA- FORNECIMENTO E INSTALACAO</t>
  </si>
  <si>
    <t xml:space="preserve">TOMADA DE EMBUTIR 2P+T 20A/250V C/ PLACA - FORNECIMENTO E INSTALACAO </t>
  </si>
  <si>
    <t>CAIXA DE PASSAGEM PVC 4X4" - FORNECIMENTO E INSTALACAO</t>
  </si>
  <si>
    <t>CAIXA DE PASSAGEM PVC 4X2" - FORNECIMENTO E INSTALACAO</t>
  </si>
  <si>
    <t>CAIXA DE PASSGEM 50X50X60 FUNDO BRITA C/ TAMPA</t>
  </si>
  <si>
    <t>CAIXA DE PASSAGEM 80X80X62 FUNDO BRITA COM TAMPA</t>
  </si>
  <si>
    <t>CABO DE COBRE NU 70MM2 - FORNECIMENTO E INSTALACAO</t>
  </si>
  <si>
    <t>74253/001</t>
  </si>
  <si>
    <t>Retirada de pontos elétricos (luminárias, interruptores e tomadas)</t>
  </si>
  <si>
    <t>CABO DE COBRE ISOLAMENTO TERMOPLASTICO 0,6/1KV 70MM2 ANTI-CHAMA - FORNECIMENTO E INSTALACAO</t>
  </si>
  <si>
    <t>CONECTOR DE PARAFUSO FENDIDO EM LIGA DE COBRE COM SEPARADOR DE CABOS PARA CABO 50 MM2 - FORNECIMENTO E INSTALACAO</t>
  </si>
  <si>
    <t>TERMINAL OU CONECTOR DE PRESSAO - PARA CABO 25MM2 - FORNECIMENTO E INSTALACAO</t>
  </si>
  <si>
    <t>Padrão de entrada de energia elétrica, trifásico, entrada aérea, a 4 fios, carga instalada de 34001 até 41000W, instalada em muro</t>
  </si>
  <si>
    <t>Interruptor de uma tecla simples 10A/250V e uma tomada 2 polos 10A/250V, padrão brasileiro, NBR 14136, linha branca, com placa 4x2"</t>
  </si>
  <si>
    <t>EXTINTOR DE CO2 6KG - FORNECIMENTO E INSTALACAO</t>
  </si>
  <si>
    <t>CONECTOR DE PARAFUSO FENDIDO EM LIGA DE COBRE COM SEPARADOR DE
CABOS PARA CABO 25 MM2 - FORNECIMENTO E INSTALACAO</t>
  </si>
  <si>
    <t>COMPOSIÇÃO 05</t>
  </si>
  <si>
    <t>INTERRUPTOR PARALELO DE EMBUTIR 10A/250V 1 TECLA, SEM PLACA - FORNECIMENTO E INSTALACAO</t>
  </si>
  <si>
    <t>15.01</t>
  </si>
  <si>
    <t>15.02</t>
  </si>
  <si>
    <t>15.03</t>
  </si>
  <si>
    <t>15.04</t>
  </si>
  <si>
    <t>15.05</t>
  </si>
  <si>
    <t>15.06</t>
  </si>
  <si>
    <t>PREFEITURA MUNICIPAL DE SÃO MATEUS
Estado do Espírito Santo
Secretaria de Educação
Setor de Manutenção</t>
  </si>
  <si>
    <t>Conforme Projeto Elétrico</t>
  </si>
  <si>
    <t>QUADRO DE DISTRIBUICAO DE ENERGIA DE EMBUTIR, EM CHAPA METALICA, PARA 32 DISJUNTORES TERMOMAGNETICOS MONOPOLARES, COM BARRAMENTO TRIFASICO E NEUTRO, FORNECIMENTO E INSTALACAO</t>
  </si>
  <si>
    <t>LUMINARIA TIPO CALHA, DE SOBREPOR, COM REATOR DE PARTIDA RAPIDA E LAMPADA FLUORESCENTE 2X40W, COMPLETA, FORNECIMENTO E INSTALACAO</t>
  </si>
  <si>
    <t>TOMADA DE EMBUTIR 2P+T 10A/250V C/ PLACA - FORNECIMENTO E INSTALACAO</t>
  </si>
  <si>
    <t>ESPELHO PLASTICO 4X4" - FORNECIMENTO E INSTALACAO</t>
  </si>
  <si>
    <t>RAMAL PREDIAL EM TUBO PEAD 20MM - FORNECIMENTO, INSTALAÇÃO, ESCAVAÇÃO E REATERRO</t>
  </si>
  <si>
    <t>DATA BASE SINAPI: MARÇO/2015
DATA BASE IOPES: MARÇO/2015 
%ENCARGOS SOCIAIS DESONERADOS INCLUSO LEIS COMPLEMENTARES:
SINAPI: 90,43%          IOPES: 134,87%
BDI: 23,45%</t>
  </si>
  <si>
    <t>LOCACAO CONVENCIONAL DE OBRA, ATRAVÉS DE GABARITO DE TABUAS CORRIDAS PONTALETADAS, COM REAPROVEITAMENTO DE 10 VEZES.</t>
  </si>
  <si>
    <t>74077/002</t>
  </si>
  <si>
    <t>ARMACAO ACO CA-50, DIAM. 6,3 (1/4) À 12,5MM(1/2) - FORNECIMENTO/ CORTE (PERDA DE 10%) / DOBRA / COLOCAÇÃO.</t>
  </si>
  <si>
    <t>74088/001</t>
  </si>
  <si>
    <t xml:space="preserve">TELHAMENTO COM TELHA DE FIBROCIMENTO ONDULADA, ESPESSURA 6MM, INCLUSO JUNTAS DE VEDACAO E ACESSORIOS DE FIXACAO, EXCLUINDO MADEIRAMENTO </t>
  </si>
  <si>
    <t>RUFO EM CHAPA DE ACO GALVANIZADO NUMERO 24, DESENVOLVIMENTO DE 25CM</t>
  </si>
  <si>
    <t>Chapisco de argamassa de cimento e areia média ou grossa lavada, no traço 1:3, espessura 5 mm</t>
  </si>
  <si>
    <t>Reboco tipo paulista de argamassa de cimento, cal hidratada CH1 e areia média ou grossa lavada no traço 1:0.5:6, espessura 25 mm</t>
  </si>
  <si>
    <t>EMBOÇO, PARA RECEBIMENTO DE CERÂMICA, EM ARGAMASSA TRAÇO 1:2:8, PREPARO MANUAL, APLICADO MANUALMENTE EM FACES INTERNAS DE PAREDES DE AMBIENTES COM ÁREA ENTRE 5M2 E 10M2, ESPESSURA DE 20MM, COM EXECUÇÃO DE TALISCAS. AF_06/2014</t>
  </si>
  <si>
    <t>Lastro de concreto não estrutural, espessura de 6 cm</t>
  </si>
  <si>
    <t>CONTRAPISO EM ARGAMASSA TRAÇO 1:4 (CIMENTO E AREIA), PREPARO MANUAL, APLICADO EM ÁREAS MOLHADAS SOBRE LAJE, ADERIDO, ESPESSURA 3CM, ACABAMENTO NÃO REFORÇADO. AF_06/2014</t>
  </si>
  <si>
    <t>PINTURA ESMALTE FOSCO EM MADEIRA, DUAS DEMAOS (PARA ESQUADRIAS DE MADEIRA )</t>
  </si>
  <si>
    <t>15.07</t>
  </si>
  <si>
    <t xml:space="preserve">73739/001 </t>
  </si>
  <si>
    <t>PINTURA ESMALTE ACETINADO EM MADEIRA, DUAS DEMAOS</t>
  </si>
  <si>
    <t>73739/001</t>
  </si>
  <si>
    <t>COEFICIENTE</t>
  </si>
  <si>
    <t>PORTA</t>
  </si>
  <si>
    <t xml:space="preserve">QUANT. </t>
  </si>
  <si>
    <t>LOCAL (considerando o lado de dentro e o lado de fora da esquadria)</t>
  </si>
  <si>
    <t>06.01</t>
  </si>
  <si>
    <t>06.03</t>
  </si>
  <si>
    <t>15.08</t>
  </si>
  <si>
    <t>SALA 04</t>
  </si>
  <si>
    <t>SALA 05</t>
  </si>
  <si>
    <t>COMPR./ 2P</t>
  </si>
  <si>
    <t>área de serviço</t>
  </si>
  <si>
    <t>15.09</t>
  </si>
  <si>
    <t>APLICAÇÃO MANUAL DE PINTURA COM TINTA LÁTEX PVA EM TETO, DUAS DEMÃOS. AF_06/2014</t>
  </si>
  <si>
    <t>INSTALAÇÕES E APARELHOS ELÉTRICOS</t>
  </si>
  <si>
    <t>DATA BASE SINAPI: MARÇO/2015
DATA BASE IOPES: MARÇO/2015
%ENCARGOS SOCIAIS DESONERADOS INCLUSO LEIS COMPLEMENTARES:
SINAPI: 90,43%          IOPES: 134,87%
BDI: 23,45%</t>
  </si>
  <si>
    <t>CONTRAPISO EM ARGAMASSA TRAÇO 1:4 (CIMENTO E AREIA), PREPARO MANUAL, APLICADO EM ÁREAS SECAS MAIORES QUE 10M2 SOBRE LAJE, ADERIDO, ESPESSURA 3CM, ACABAMENTO NÃO REFORÇADO. AF_06/2014</t>
  </si>
  <si>
    <t>11.08</t>
  </si>
  <si>
    <t>73910/010</t>
  </si>
  <si>
    <t>PORTA DE MADEIRA COMPENSADA LISA PARA PINTURA, 90X210X3,5CM, INCLUSO ADUELA 2A, ALIZAR 2A E DOBRADICAS</t>
  </si>
  <si>
    <t>06.04</t>
  </si>
  <si>
    <t>74069/001</t>
  </si>
  <si>
    <t>FECHADURA DE EMBUTIR COMPLETA, PARA PORTAS DE BANHEIRO, PADRAO DE ACABAMENTO POPULAR</t>
  </si>
  <si>
    <t>74068/002</t>
  </si>
  <si>
    <t>FECHADURA DE EMBUTIR COMPLETA, PARA PORTAS EXTERNAS, PADRAO DE ACABAMENTO POPULAR</t>
  </si>
  <si>
    <t>14.06</t>
  </si>
  <si>
    <t>14.07</t>
  </si>
  <si>
    <t>Dispenser de plástico ABS branco para sabonete líquido, marcas de referência JSN, Iramax, Sólimp ou equivalente, com reservatório, fixado com parafusos e buchas</t>
  </si>
  <si>
    <t>Papeleira de louça branca, 15x15cm, marcas de referência Deca, Celite ou Ideal Standard.</t>
  </si>
  <si>
    <t xml:space="preserve">INSTALAÇÕES e APARELHOS ELÉTRICOS </t>
  </si>
  <si>
    <t xml:space="preserve">INSTALAÇÕES E APARELHOS ELÉTRICOS </t>
  </si>
  <si>
    <r>
      <rPr>
        <b/>
        <sz val="11"/>
        <rFont val="Arial Narrow"/>
        <family val="2"/>
      </rPr>
      <t xml:space="preserve">OBRA: </t>
    </r>
    <r>
      <rPr>
        <sz val="11"/>
        <rFont val="Arial Narrow"/>
        <family val="2"/>
      </rPr>
      <t xml:space="preserve"> REFORMA E AMPLIAÇÃO CEIM SÃO PEDRO</t>
    </r>
  </si>
  <si>
    <r>
      <t xml:space="preserve">LOCAL: </t>
    </r>
    <r>
      <rPr>
        <sz val="11"/>
        <rFont val="Arial Narrow"/>
        <family val="2"/>
      </rPr>
      <t>RUA COPA 70, N</t>
    </r>
    <r>
      <rPr>
        <sz val="11"/>
        <rFont val="Calibri"/>
        <family val="2"/>
      </rPr>
      <t>º</t>
    </r>
    <r>
      <rPr>
        <sz val="14.3"/>
        <rFont val="Arial Narrow"/>
        <family val="2"/>
      </rPr>
      <t xml:space="preserve"> </t>
    </r>
    <r>
      <rPr>
        <sz val="11"/>
        <rFont val="Arial Narrow"/>
        <family val="2"/>
      </rPr>
      <t>977, BAIRRO: SÃO PEDRO, SÃO MATEUS-ES.</t>
    </r>
  </si>
  <si>
    <r>
      <t xml:space="preserve">LOCAL: </t>
    </r>
    <r>
      <rPr>
        <sz val="11"/>
        <rFont val="Arial Narrow"/>
        <family val="2"/>
      </rPr>
      <t>RUA COPA 70, Nº 977, BAIRRO: SÃO PEDRO, SÃO MATEUS-ES.</t>
    </r>
  </si>
  <si>
    <r>
      <rPr>
        <b/>
        <sz val="10"/>
        <rFont val="Arial Narrow"/>
        <family val="2"/>
      </rPr>
      <t xml:space="preserve">OBRA: </t>
    </r>
    <r>
      <rPr>
        <sz val="10"/>
        <rFont val="Arial Narrow"/>
        <family val="2"/>
      </rPr>
      <t xml:space="preserve"> REFORMA E AMPLIAÇÃO CEIM SÃO PEDRO</t>
    </r>
  </si>
  <si>
    <r>
      <t xml:space="preserve">LOCAL: </t>
    </r>
    <r>
      <rPr>
        <sz val="10"/>
        <rFont val="Arial Narrow"/>
        <family val="2"/>
      </rPr>
      <t>RUA COPA 70, Nº 977, BAIRRO: SÃO PEDRO, SÃO MATEUS-ES.</t>
    </r>
  </si>
  <si>
    <t>73896/001</t>
  </si>
  <si>
    <t>RETIRADA CUIDADOSA DE AZULEJOS/LADRILHOS E ARGAMASSA DE ASSENTAMENTO</t>
  </si>
  <si>
    <t xml:space="preserve">RETIRADA DE APARELHOS SANITARIOS </t>
  </si>
  <si>
    <t>73910/005</t>
  </si>
  <si>
    <t>PORTA DE MADEIRA COMPENSADA LISA PARA PINTURA, 80X210X3,5CM, INCLUSO ADUELA 2A, ALIZAR 2A E DOBRADICAS</t>
  </si>
  <si>
    <t>ESTRUTURA DE MADEIRA DE LEI PRIMEIRA QUALIDADE, SERRADA, NAO APARELHADA, PARA TELHAS ONDULADAS, VAOS DE 10M ATE 13M</t>
  </si>
  <si>
    <t>74041/002</t>
  </si>
  <si>
    <t>LUMINARIA GLOBO VIDROLEITOSO/PLAFONIER/BOCAL/LAMPADA 100W</t>
  </si>
  <si>
    <t>CABO DE COBRE ISOLAMENTO TERMOPLASTICO 0,6/1KV 2,5MM2 ANTI-CHAMA - FORNECIMENTO E INSTALACAO</t>
  </si>
  <si>
    <t>14.08</t>
  </si>
  <si>
    <t>VASO SANITARIO INFANTIL SIFONADO, PARA VALVULA DE DESCARGA, EM LOUCA BRANCA, COM ACESSORIOS, INCLUSIVE ASSENTO PLASTICO, BOLSA DE BORRACHA PARA LIGACAO, TUBO PVC LIGACAO - FORNECIMENTO E INSTALACAO</t>
  </si>
  <si>
    <t>área dos banheiros que vão ser demolidos</t>
  </si>
  <si>
    <t>banheiros</t>
  </si>
  <si>
    <t>área ampliada (área tirada em cad)</t>
  </si>
  <si>
    <t>banheiro à ser demolido</t>
  </si>
  <si>
    <t>Bacia sanitária</t>
  </si>
  <si>
    <t>chuveiro</t>
  </si>
  <si>
    <t>banheiro à ser demolido (infantil)</t>
  </si>
  <si>
    <t>Isolando acesso ao lado da área de serviço para os fundos</t>
  </si>
  <si>
    <t xml:space="preserve">Fechando o acesso que dá no corredor dos banheiros </t>
  </si>
  <si>
    <t>BRINQUEDOTECA</t>
  </si>
  <si>
    <t>SANIT. FEMININO</t>
  </si>
  <si>
    <t>SANIT. MASCULINO</t>
  </si>
  <si>
    <t>báscula</t>
  </si>
  <si>
    <t>SANIT. PNE</t>
  </si>
  <si>
    <t>ARMÁRIO</t>
  </si>
  <si>
    <t>escovódromo</t>
  </si>
  <si>
    <t>ESCOVÓDROMO</t>
  </si>
  <si>
    <t xml:space="preserve">parede frente </t>
  </si>
  <si>
    <t>parede lateral 1 (área tirada em cad)</t>
  </si>
  <si>
    <t>parede frente</t>
  </si>
  <si>
    <t>SANIT. FEMININO E MASCULINO</t>
  </si>
  <si>
    <t>parede frente + parede lateral</t>
  </si>
  <si>
    <t>parede lateral</t>
  </si>
  <si>
    <t>PAREDE DO FUNDO</t>
  </si>
  <si>
    <t>BASE DE ALVENARIA</t>
  </si>
  <si>
    <t>Conforme projeto arquitetônico: 01 unidade (brinquedoteca)</t>
  </si>
  <si>
    <t>07.02</t>
  </si>
  <si>
    <t>07.03</t>
  </si>
  <si>
    <t xml:space="preserve">JANELA BASCULANTE DE ALUMINIO </t>
  </si>
  <si>
    <t>Janela de correr para vidro em alumínio anodizado cor natural, linha 25, completa, incl. puxador com tranca, alizar, caixilho e contramarco, exclusive vidro</t>
  </si>
  <si>
    <t>07.04</t>
  </si>
  <si>
    <t>VIDRO LISO COMUM TRANSPARENTE, ESPESSURA 3MM</t>
  </si>
  <si>
    <t>comprimento tirado em cad</t>
  </si>
  <si>
    <t>brinquedoteca</t>
  </si>
  <si>
    <t xml:space="preserve">circulação </t>
  </si>
  <si>
    <t xml:space="preserve">SANIT. FEMININO </t>
  </si>
  <si>
    <t>circulação (parte nova)</t>
  </si>
  <si>
    <t>sala 01</t>
  </si>
  <si>
    <t>sala 02</t>
  </si>
  <si>
    <t>arquivo</t>
  </si>
  <si>
    <t>arquivo (por dentro e por fora)</t>
  </si>
  <si>
    <t xml:space="preserve">circulação da escola </t>
  </si>
  <si>
    <t>em volta dos pilares</t>
  </si>
  <si>
    <t>14.09</t>
  </si>
  <si>
    <t>14.10</t>
  </si>
  <si>
    <t>CHUVEIRO ELETRICO COMUM CORPO PLASTICO TIPO DUCHA, FORNECIMENTO E INSTALACAO</t>
  </si>
  <si>
    <t>LAVATÓRIO LOUÇA BRANCA SUSPENSO, 29,5 X 39CM OU EQUIVALENTE, PADRÃO POPULAR, INCLUSO SIFÃO FLEXÍVEL EM PVC, VÁLVULA E ENGATE FLEXÍVEL 30CM EM PLÁSTICO E TORNEIRA CROMADA DE MESA, PADRÃO POPULAR - FORNECIMENTO E INSTALAÇÃO. AF_12/2013_P</t>
  </si>
  <si>
    <t>05.03</t>
  </si>
  <si>
    <t>DIVISORIA EM GRANITO BRANCO POLIDO, ESP = 3CM, ASSENTADO COM ARGAMASSA TRACO 1:4, ARREMATE EM CIMENTO BRANCO, EXCLUSIVE FERRAGENS</t>
  </si>
  <si>
    <t>14.11</t>
  </si>
  <si>
    <t>TORNEIRA CROMADA LONGA, DE PAREDE, 1/2" OU 3/4", PARA PIA DE COZINHA, 
PADRÃO POPULAR - FORNECIMENTO E INSTALAÇÃO. AF_12/2013</t>
  </si>
  <si>
    <t>varanda ao redor das sala 01, 02, 03 e 04 - área tirada em cad</t>
  </si>
  <si>
    <t>ao redor do arquivo - área tirada em cad</t>
  </si>
  <si>
    <t>circulação (parte nova) - área tirada em cad</t>
  </si>
  <si>
    <t>dois telhadinhos da circulação descoberta  - área tirada em cad</t>
  </si>
  <si>
    <t>pilares de madeira (área de serviço e ao redor do arquivo)</t>
  </si>
  <si>
    <t>ESTRUTURA DE MADEIRA DO TELHADO</t>
  </si>
  <si>
    <t>cozinha</t>
  </si>
  <si>
    <t>sala 06</t>
  </si>
  <si>
    <t>secretaria</t>
  </si>
  <si>
    <t>sanit. Feminino</t>
  </si>
  <si>
    <t>sanit. masculino</t>
  </si>
  <si>
    <t>sanit. PNE</t>
  </si>
  <si>
    <t>01.08</t>
  </si>
  <si>
    <t>Retirada de revestimento antigo em reboco</t>
  </si>
  <si>
    <t>muro frontal (pelo lado de dentro da escola)</t>
  </si>
  <si>
    <t>solário</t>
  </si>
  <si>
    <t>área ao redor das sala 01, 02, 03 e 04</t>
  </si>
  <si>
    <t>circulação (em frente as sala 05 e 06)</t>
  </si>
  <si>
    <t>circulação (área nova)</t>
  </si>
  <si>
    <t>circulação</t>
  </si>
  <si>
    <t>área do escovódromo</t>
  </si>
  <si>
    <t>RETIRADA DE FOLHAS DE PORTA DE PASSAGEM OU JANELA</t>
  </si>
  <si>
    <t>01.09</t>
  </si>
  <si>
    <t>01.10</t>
  </si>
  <si>
    <t xml:space="preserve">RETIRADA DE BATENTES DE MADEIRA </t>
  </si>
  <si>
    <t>01.11</t>
  </si>
  <si>
    <t>Retirada de grades, gradis, alambrados, cercas e portões</t>
  </si>
  <si>
    <t>sala dos professores</t>
  </si>
  <si>
    <t xml:space="preserve">sala 05 </t>
  </si>
  <si>
    <t xml:space="preserve">sala 06 </t>
  </si>
  <si>
    <t>sala dos professores (grade da janela)</t>
  </si>
  <si>
    <t>cozinha (grade da janela)</t>
  </si>
  <si>
    <t>SALA 06</t>
  </si>
  <si>
    <t>COZINHA</t>
  </si>
  <si>
    <t>SALA DOS PROFESSORES</t>
  </si>
  <si>
    <t>SALA 05 E SALA 06</t>
  </si>
  <si>
    <t>parede lateral 2</t>
  </si>
  <si>
    <t xml:space="preserve">parede lateral 3 </t>
  </si>
  <si>
    <t xml:space="preserve">parede frente + parede entre as duas salas </t>
  </si>
  <si>
    <t>janela</t>
  </si>
  <si>
    <t>Conforme projeto arquitetônico: 5 unidades (sanit. PNE, sanit. Feminino, sanit. Masculino, sala 05 e sala 06)</t>
  </si>
  <si>
    <t xml:space="preserve">parede lateral 1 </t>
  </si>
  <si>
    <t xml:space="preserve">parede lateral 2 </t>
  </si>
  <si>
    <t>parede lateral 3</t>
  </si>
  <si>
    <t>Para acesso as caixas d'águas</t>
  </si>
  <si>
    <t>16.02</t>
  </si>
  <si>
    <t>área do terreno da escola</t>
  </si>
  <si>
    <t>15.10</t>
  </si>
  <si>
    <t xml:space="preserve">73924/002 </t>
  </si>
  <si>
    <t>PINTURA ESMALTE ACETINADO, DUAS DEMAOS, SOBRE SUPERFICIE METALICA</t>
  </si>
  <si>
    <t>parede fundo</t>
  </si>
  <si>
    <t xml:space="preserve">SALA 05 </t>
  </si>
  <si>
    <t>parede nova</t>
  </si>
  <si>
    <t>parede fundo (existente)</t>
  </si>
  <si>
    <t>parede lateral  (existente)</t>
  </si>
  <si>
    <t>parede lateral de fora (área tirada em cad)</t>
  </si>
  <si>
    <t>12,57 (área tirada em cad)</t>
  </si>
  <si>
    <t xml:space="preserve">parede lateral - lateral com SANIT. PNE </t>
  </si>
  <si>
    <t>PAREDE FUNDOS</t>
  </si>
  <si>
    <t>parede lateral ao escovodromo</t>
  </si>
  <si>
    <t>base de alvenaria</t>
  </si>
  <si>
    <t>BLOCO 02</t>
  </si>
  <si>
    <t>parade fundo</t>
  </si>
  <si>
    <t>área do armário de alvenaria</t>
  </si>
  <si>
    <t>prateleiras internas</t>
  </si>
  <si>
    <t>BLOCO 01</t>
  </si>
  <si>
    <t>parede lateral 2 (área de serviço)</t>
  </si>
  <si>
    <t>frente</t>
  </si>
  <si>
    <t>lateral 2</t>
  </si>
  <si>
    <t>parede que vai do bloco 1 p/ o bloco 2</t>
  </si>
  <si>
    <t>viga suspensa (frente e fundos)</t>
  </si>
  <si>
    <t>mureta da varanda (lado de dentro)</t>
  </si>
  <si>
    <t>mureta da varanda (lado de fora fora)</t>
  </si>
  <si>
    <t>viga da mureta</t>
  </si>
  <si>
    <t>requadro + pilares da mureta</t>
  </si>
  <si>
    <t>ARQUIVO</t>
  </si>
  <si>
    <t>MURO</t>
  </si>
  <si>
    <t>lado 1</t>
  </si>
  <si>
    <t>fundos</t>
  </si>
  <si>
    <t>lado 2 (lado onde está a brinquedoteca)</t>
  </si>
  <si>
    <t xml:space="preserve">parede fundo </t>
  </si>
  <si>
    <t xml:space="preserve">parede lateral  </t>
  </si>
  <si>
    <t xml:space="preserve">parede lateral </t>
  </si>
  <si>
    <t>INTERNO</t>
  </si>
  <si>
    <t>EXTERNO</t>
  </si>
  <si>
    <t xml:space="preserve">parede divisa com vizinho </t>
  </si>
  <si>
    <t>no telhado das sala 01, 02, 03 e 04</t>
  </si>
  <si>
    <t>base do fundo</t>
  </si>
  <si>
    <t>ALTURA / LARGURA</t>
  </si>
  <si>
    <t>escada</t>
  </si>
  <si>
    <t>73924/002</t>
  </si>
  <si>
    <t>muro (frente)</t>
  </si>
  <si>
    <t>grades (comprimento tirado em cad)</t>
  </si>
  <si>
    <t>portão de correr</t>
  </si>
  <si>
    <t>muro (fundos)</t>
  </si>
  <si>
    <t>portão de pedestre</t>
  </si>
  <si>
    <t>17.02</t>
  </si>
  <si>
    <t xml:space="preserve">74072/001 </t>
  </si>
  <si>
    <t>CORRIMAO EM TUBO ACO GALVANIZADO 3/4" COM BRACADEIRA</t>
  </si>
  <si>
    <t>74072/001</t>
  </si>
  <si>
    <t>rampa</t>
  </si>
  <si>
    <t>RAMPA</t>
  </si>
  <si>
    <t>base</t>
  </si>
  <si>
    <t>mureta</t>
  </si>
  <si>
    <t>platibanda</t>
  </si>
  <si>
    <t>PLATIBANDA</t>
  </si>
  <si>
    <t>medidas tiradas no local</t>
  </si>
  <si>
    <t>em volta da rampa</t>
  </si>
  <si>
    <t>ALTURA/ LARGURA</t>
  </si>
  <si>
    <t>ALVENARIA DE VEDAÇÃO DE BLOCOS CERÂMICOS FURADOS NA VERTICAL DE 9X19X39CM (ESPESSURA 9CM) DE PAREDES COM ÁREA LÍQUIDA MAIOR OU IGUAL A 6M² COM VÃOS E ARGAMASSA DE ASSENTAMENTO COM PREPARO MANUAL. AF_06/2014</t>
  </si>
  <si>
    <t>SALA 05 (revestir a parede nova)</t>
  </si>
  <si>
    <t>SALA 06 (revestir a parede nova)</t>
  </si>
  <si>
    <t xml:space="preserve">Conforme projeto arquitetônico:  3 unidades (sanit. PNE, feminino e masculino) </t>
  </si>
  <si>
    <t xml:space="preserve">Conforme projeto arquitetônico:  3 unidades (brinquedoteca, sala 05 e sala 06) </t>
  </si>
  <si>
    <t>REVESTIMENTO CERÂMICO PARA PISO COM PLACAS TIPO GRÊS DE DIMENSÕES 35X35 CM APLICADA EM AMBIENTES DE ÁREA ENTRE 5 M2 E 10 M2. AF_06/2014</t>
  </si>
  <si>
    <t>REVESTIMENTO CERÂMICO PARA PISO COM PLACAS TIPO GRÊS DE DIMENSÕES 35X35 CM APLICADA EM AMBIENTES DE ÁREA MAIOR QUE 10 M2. AF_06/2014</t>
  </si>
  <si>
    <t>11.09</t>
  </si>
  <si>
    <t>11.10</t>
  </si>
  <si>
    <t>REVESTIMENTO CERÂMICO PARA PAREDES INTERNAS COM PLACAS TIPO GRÊS OU SEMI-GRÊS DE DIMENSÕES 20X20 CM APLICADAS EM AMBIENTES DE ÁREA MAIOR QUE 5 M² A MEIA ALTURA DAS PAREDES. AF_06/2014</t>
  </si>
  <si>
    <t>10.05</t>
  </si>
  <si>
    <t>EMBOÇO, PARA RECEBIMENTO DE CERÂMICA, EM ARGAMASSA TRAÇO 1:2:8, PREPARO MANUAL, APLICADO MANUALMENTE EM FACES INTERNAS DE PAREDES DE AMBIENTES COM ÁREA MAIOR QUE 10M2, ESPESSURA DE 20MM, COM EXECUÇÃO DE TALISCAS. AF_06/2014</t>
  </si>
  <si>
    <t>usar mesmo tipo e tamanho do revestimento existente nas salas</t>
  </si>
  <si>
    <t>retirada de um pequeno pedaço do telhado do bloco 2, para construção de platibanda da área ampliada</t>
  </si>
  <si>
    <t>indicado em projeto</t>
  </si>
  <si>
    <t>SANIT. FEMININO (todas as paredes)</t>
  </si>
  <si>
    <t>SANIT. MASCULINO (todas as paredes)</t>
  </si>
  <si>
    <t xml:space="preserve">74079/001 </t>
  </si>
  <si>
    <t>PISO CIMENTADO TRACO 1:4 (CIMENTO E AREIA) COM ACABAMENTO LISO ESPESSURA 2,0CM COM JUNTAS PLASTICAS DE DILATACAO E PREPARO MANUAL DA ARGAMASSA</t>
  </si>
  <si>
    <t>parte da parede frente</t>
  </si>
  <si>
    <t xml:space="preserve">arquivo </t>
  </si>
  <si>
    <t>rampa (que dá acesso a ampliação)</t>
  </si>
  <si>
    <t>C</t>
  </si>
  <si>
    <t>L</t>
  </si>
  <si>
    <t>AREA</t>
  </si>
  <si>
    <t>LADOS</t>
  </si>
  <si>
    <t>QT</t>
  </si>
  <si>
    <t>SAPATAS</t>
  </si>
  <si>
    <t>S1=S14</t>
  </si>
  <si>
    <t>PILARETES</t>
  </si>
  <si>
    <t>P1=P14</t>
  </si>
  <si>
    <t>CINTAS</t>
  </si>
  <si>
    <t>TODAS</t>
  </si>
  <si>
    <t>PILARES</t>
  </si>
  <si>
    <t>VIGAS</t>
  </si>
  <si>
    <t>M²</t>
  </si>
  <si>
    <t>8mm</t>
  </si>
  <si>
    <t>QTDADE</t>
  </si>
  <si>
    <t>0,70 / 0,15</t>
  </si>
  <si>
    <t>52,28 / 0,15</t>
  </si>
  <si>
    <t>4,2mm</t>
  </si>
  <si>
    <t>3,1 / 0,15</t>
  </si>
  <si>
    <t>qtade</t>
  </si>
  <si>
    <t>FORMA PARA ESTRUTURAS DE CONCRETO (PILAR, VIGA) EM CHAPA DE MADEIRA COMPENSADA RESINADA, DE 1,10 X 2,20, ESPESSURA = 12 MM, 05 UTILIZACOES. (FABRICACAO, MONTAGEM E DESMONTAGEM)</t>
  </si>
  <si>
    <t xml:space="preserve">ESCAVAÇÃO: </t>
  </si>
  <si>
    <t xml:space="preserve">INFRA-ESTRUTURA (CONCRETO):  = </t>
  </si>
  <si>
    <t xml:space="preserve">REATERRO (ESCAVAÇÃO - ESTRUTURA): </t>
  </si>
  <si>
    <t>Conforme Projeto Hidro-Sanitário + 10%</t>
  </si>
  <si>
    <t>joelho 40mm</t>
  </si>
  <si>
    <t>UN CR 6,37</t>
  </si>
  <si>
    <t>JOELHO 90 GRAUS, PVC, SOLDÁVEL, DN 40MM, INSTALADO EM PRUMADA DE ÁGUA FORNECIMENTO E INSTALAÇÃO. AF_12/2014_P</t>
  </si>
  <si>
    <t>UN CR 4,01</t>
  </si>
  <si>
    <t>ADAPTADOR CURTO COM BOLSA E ROSCA PARA REGISTRO, PVC, SOLDÁVEL, DN 25 M X 3/4, INSTALADO EM RAMAL OU SUB-RAMAL DE ÁGUA FORNECIMENTO E INSTALAÇÃO. AF_12/2014_P</t>
  </si>
  <si>
    <t>89724 JOELHO 90 GRAUS, PVC, SERIE NORMAL, ESGOTO PREDIAL, DN 40 MM, JUNTA SO UN CR 4,79</t>
  </si>
  <si>
    <t>LDÁVEL, FORNECIDO E INSTALADO EM RAMAL DE DESCARGA OU RAMAL DE ESGOTO</t>
  </si>
  <si>
    <t>SANITÁRIO. AF_12/2014_P</t>
  </si>
  <si>
    <t>89726 JOELHO 45 GRAUS, PVC, SERIE NORMAL, ESGOTO PREDIAL, DN 40 MM, JUNTA SO UN CR 4,99</t>
  </si>
  <si>
    <t>89743 CURVA LONGA 90 GRAUS, PVC, SERIE NORMAL, ESGOTO PREDIAL, DN 75 MM, JUN UN CR 22,29</t>
  </si>
  <si>
    <t>TA ELÁSTICA, FORNECIDO E INSTALADO EM RAMAL DE DESCARGA OU RAMAL DE ES</t>
  </si>
  <si>
    <t>GOTO SANITÁRIO. AF_12/2014</t>
  </si>
  <si>
    <t>89744 JOELHO 90 GRAUS, PVC, SERIE NORMAL, ESGOTO PREDIAL, DN 100 MM, JUNTA E UN CR 14,32</t>
  </si>
  <si>
    <t>LÁSTICA, FORNECIDO E INSTALADO EM RAMAL DE DESCARGA OU RAMAL DE ESGOTO</t>
  </si>
  <si>
    <t>SANITÁRIO. AF_12/2014</t>
  </si>
  <si>
    <t>89746 JOELHO 45 GRAUS, PVC, SERIE NORMAL, ESGOTO PREDIAL, DN 100 MM, JUNTA E UN CR 13,89</t>
  </si>
  <si>
    <t>74166/001 CAIXA DE INSPEÇÃO EM CONCRETO PRÉ-MOLDADO DN 60MM COM TAMPA H= 60CM - UN AS 159,09</t>
  </si>
  <si>
    <t>FORNECIMENTO E INSTALACAO</t>
  </si>
  <si>
    <t>74166/001</t>
  </si>
  <si>
    <t>CAIXA DE INSPEÇÃO EM CONCRETO PRÉ-MOLDADO DN 60MM COM TAMPA H= 60CM - FORNECIMENTO E INSTALACAO</t>
  </si>
  <si>
    <t>novo</t>
  </si>
  <si>
    <t>89796 TE, PVC, SERIE NORMAL, ESGOTO PREDIAL, DN 100 X 100 MM, JUNTA ELÁSTICA UN CR 25,53</t>
  </si>
  <si>
    <t>, FORNECIDO E INSTALADO EM RAMAL DE DESCARGA OU RAMAL DE ESGOTO SANITÁ</t>
  </si>
  <si>
    <t>RIO. AF_12/2014</t>
  </si>
  <si>
    <t>NOVO</t>
  </si>
  <si>
    <t>TE, PVC, SERIE NORMAL, ESGOTO PREDIAL, DN 100 X 100 MM, JUNTA ELÁSTICA CR, FORNECIDO E INSTALADO EM RAMAL DE DESCARGA OU RAMAL DE ESGOTO SANITÁRIO. AF_12/2014</t>
  </si>
  <si>
    <t>74141/001 LAJE PRE-MOLD BETA 11 P/1KN/M2 VAOS 4,40M/INCL VIGOTAS TIJOLOS ARMADUR M2 CR 68,71</t>
  </si>
  <si>
    <t>A NEGATIVA CAPEAMENTO 3CM CONCRETO 20MPA ESCORAMENTO MATERIAL E MAO D</t>
  </si>
  <si>
    <t>E OBRA.</t>
  </si>
  <si>
    <t>74141/001</t>
  </si>
  <si>
    <t xml:space="preserve"> LAJE PRE-MOLD BETA 11 P/1KN/M2 VAOS 4,40M/INCL VIGOTAS TIJOLOS ARMADURA NEGATIVA CAPEAMENTO 3CM CONCRETO 20MPA ESCORAMENTO MATERIAL E MAO DE OBRA.</t>
  </si>
  <si>
    <t>escovódramo + wcs</t>
  </si>
  <si>
    <t>04.02.05</t>
  </si>
  <si>
    <t>LAJE PRE-MOLD BETA 11 P/1KN/M2 VAOS 4,40M/INCL VIGOTAS TIJOLOS ARMADURA NEGATIVA CAPEAMENTO 3CM CONCRETO 20MPA ESCORAMENTO MATERIAL E MAO DE OBRA.</t>
  </si>
  <si>
    <t>88503 CAIXA D´ÁGUA EM POLIETILENO, 1000 LITROS, COM ACESSÓRIOS UN CR 639,58</t>
  </si>
  <si>
    <t>Reservatório de fibra de vidro 2000L, inclusive peça de apoio 6x16 cm, exclusive flanges e torneira de bóia</t>
  </si>
  <si>
    <t>01.12</t>
  </si>
  <si>
    <t>01.13</t>
  </si>
  <si>
    <t>RETIRADA DE ESTRUTURA DE MADEIRA PONTALETEADA PARA TELHAS ONDULADAS</t>
  </si>
  <si>
    <t xml:space="preserve">RETIRADA DE CUMEEIRAS CERAMICAS </t>
  </si>
  <si>
    <t xml:space="preserve">varanda ao redor das salas 01, 02, 03 e 04 </t>
  </si>
  <si>
    <t>telhado que cobre as salas 01, 02, 03 e 04</t>
  </si>
  <si>
    <t>telhado do arquivo</t>
  </si>
  <si>
    <t>telhado da área de serviço</t>
  </si>
  <si>
    <t>telhado que cobre cozinha, sala 05, sala 06, sala dos professores, circulação que vai da acesso a ampliação</t>
  </si>
  <si>
    <t>telhado na circulação descoberta - 1</t>
  </si>
  <si>
    <t>telhado na circulação descoberta - 2</t>
  </si>
  <si>
    <t>varanda ao redor das salas 01, 02, 03 e 04</t>
  </si>
  <si>
    <t>tirado em cad</t>
  </si>
  <si>
    <t>bloco 1 (parte de cima)</t>
  </si>
  <si>
    <t>bloco 1 (parte de baixo)</t>
  </si>
  <si>
    <t>08.04</t>
  </si>
  <si>
    <t>08.05</t>
  </si>
  <si>
    <t>ESTRUTURA DE MADEIRA DE LEI PRIMEIRA QUALIDADE, SERRADA, NAO APARELHADA, PARA TELHAS ONDULADAS, VAOS ATE 7M</t>
  </si>
  <si>
    <t>ESTRUTURA DE MADEIRA DE LEI PRIMEIRA QUALIDADE, SERRADA, NAO APARELHADA, PARA TELHAS ONDULADAS, VAOS DE 13M ATE 18M</t>
  </si>
  <si>
    <t>bloco 2</t>
  </si>
  <si>
    <t>área ampliada (bloco 3)</t>
  </si>
  <si>
    <t>SALA 01</t>
  </si>
  <si>
    <t>janela 01</t>
  </si>
  <si>
    <t>janela 02</t>
  </si>
  <si>
    <t>SALA 02</t>
  </si>
  <si>
    <t>SALA 03</t>
  </si>
  <si>
    <t>01.14</t>
  </si>
  <si>
    <t>01.15</t>
  </si>
  <si>
    <t xml:space="preserve">RETIRADA DE FORRO DE MADEIRA EM TABUAS </t>
  </si>
  <si>
    <t xml:space="preserve">RETIRADA DE FORRO EM REGUAS DE PVC, INCLUSIVE RETIRADA DE PERFIS </t>
  </si>
  <si>
    <t>RETIRADA DE FORRO EM REGUAS DE PVC, INCLUSIVE RETIRADA DE PERFIS</t>
  </si>
  <si>
    <t xml:space="preserve">Chapisco de argamassa de cimento e areia média ou grossa lavada, no traço 1:3, espessura 5 mm </t>
  </si>
  <si>
    <t>TORNEIRA CROMADA LONGA, DE PAREDE, 1/2" OU 3/4", PARA PIA DE COZINHA, PADRÃO POPULAR - FORNECIMENTO E INSTALAÇÃO. AF_12/2013</t>
  </si>
  <si>
    <t>REMOÇÃO DE PINTURA PVA/ACRILICA</t>
  </si>
  <si>
    <t>380,21  - 5,91 - 96,95 = 277,31</t>
  </si>
  <si>
    <t>08.06</t>
  </si>
  <si>
    <t>74045/001</t>
  </si>
  <si>
    <t>CUMEEIRA UNIVERSAL PARA TELHA DE FIBROCIMENTO ONDULADA ESPESSURA 6 MM, INCLUSO JUNTAS DE VEDACAO E ACESSORIOS DE FIXACAO</t>
  </si>
  <si>
    <t>CALÇADA</t>
  </si>
  <si>
    <t>73907/006</t>
  </si>
  <si>
    <t xml:space="preserve">LASTRO DE CONCRETO, ESPESSURA 3CM, PREPARO MECANICO  </t>
  </si>
  <si>
    <t>Lastro regularizado de concreto não estrutural, espessura de 8 cm</t>
  </si>
  <si>
    <t xml:space="preserve"> 73892/002</t>
  </si>
  <si>
    <t>EXECUÇÃO DE PASSEIO (CALÇADA) EM CONCRETO 12 MPA, TRAÇO 1:3:5 (CIMENTO /AREIA/BRITA), PREPARO MECÂNICO, ESPESSURA 7CM, COM JUNTA DE DILATAÇÃO</t>
  </si>
  <si>
    <t>Meio-fio de concreto pré-moldado com dimensões de 15x12x30x100 cm , rejuntados com argamassa de cimento e areia no traço 1:3</t>
  </si>
  <si>
    <t>Fornecimento e assentamento de ladrilho hidráulico pastilhado, vermelho, dim. 20x20 cm, esp. 1.5cm, assentado com pasta de cimento colante, exclusive regularização e lastro/alerta</t>
  </si>
  <si>
    <t>Fornecimento e assentamento de ladrilho hidráulico ranhurado, vermelho, dim. 20x20 cm, esp. 1.5cm, assentado com pasta de cimento colante, exclusive regularização e lastro/direcionado</t>
  </si>
  <si>
    <t>16.03</t>
  </si>
  <si>
    <t>16.04</t>
  </si>
  <si>
    <t>16.05</t>
  </si>
  <si>
    <t>16.06</t>
  </si>
  <si>
    <t>DEMOLICAO DE CONCRETO SIMPLES</t>
  </si>
  <si>
    <t>calçada existente</t>
  </si>
  <si>
    <t>Conforma área tirada do AutoCAD</t>
  </si>
  <si>
    <t>Àrea do ladrilho hidráulico</t>
  </si>
  <si>
    <t xml:space="preserve">Conforme comprimento retirado do AutoCAD </t>
  </si>
  <si>
    <t>Conforme comprimento retirado do AutoCAD largura de 0,20m</t>
  </si>
  <si>
    <t xml:space="preserve">Fornecimento e assentamento de ladrilho hidráulico ranhurado, vermelho, dim. 20x20 cm, esp. 1.5cm, assentado com pasta de cimento colante, exclusive regularização e lastro/direcionado </t>
  </si>
  <si>
    <t>área total de calçada, incluindo passeio cimentado e ladrilho</t>
  </si>
  <si>
    <t>COMPOSIÇÃO 01</t>
  </si>
  <si>
    <t xml:space="preserve">       3,55 a mais porque tem um lado da calçada que a altura vai ser +28 por causa do nível em que esta a escola</t>
  </si>
  <si>
    <t>18.01</t>
  </si>
  <si>
    <t>18.02</t>
  </si>
  <si>
    <t>COMPOSIÇÃO 02</t>
  </si>
  <si>
    <t>17.03</t>
  </si>
  <si>
    <t>PEDREIRO COM ENCARGOS COMPLEMENTARES</t>
  </si>
  <si>
    <t>SERVENTE COM ENCARGOS COMPLEMENTARES</t>
  </si>
  <si>
    <t>SINAPI 88309</t>
  </si>
  <si>
    <t>SINAPI 88316</t>
  </si>
  <si>
    <t>PORTA DE CORRER EM MADEIRA, COM QUATRO FOLHAS (CADA UMA COM 1,00 X 2,98M)</t>
  </si>
  <si>
    <t xml:space="preserve">*Como referência foi utilizado o item 68050 do SINAPI e insumo 4982 do SINAPI </t>
  </si>
  <si>
    <t>ARGAMASSA TRAÇO 1:0,5:4,5 (CIMENTO, CAL E AREIA MÉDIA), PREPARO MECÂNICO COM BETONEIRA 400 L. AF_08/2014</t>
  </si>
  <si>
    <t>M3</t>
  </si>
  <si>
    <t>SINAPI 88626</t>
  </si>
  <si>
    <t xml:space="preserve">para o armário de alvenaria que esta previsto no projeto </t>
  </si>
  <si>
    <t>74130/004</t>
  </si>
  <si>
    <t>DISJUNTOR TERMOMAGNETICO TRIPOLAR PADRAO NEMA (AMERICANO) 10 A 50A 240</t>
  </si>
  <si>
    <t>TOMADA DE EMBUTIR 2P+T 20A/250V C/ PLACA - FORNECIMENTO E INSTALACAO</t>
  </si>
  <si>
    <t>Quadro de distribuição de energia, de embutir, com 18 divisões modulares, com barramento</t>
  </si>
  <si>
    <t>Caixa de passagem de alvenaria de blocos de concreto 9x19x39cm, dimensões de 30x30x50cm, com revestimento interno em chapisco e reboco, tampa de concreto esp.5cm e lastro de brita 5 cm</t>
  </si>
  <si>
    <t>Caixa de passagem 4x2", chapa 18</t>
  </si>
  <si>
    <t>Caixa estampada chapa 18 octogonal de 4x4x2", com fundo móvel</t>
  </si>
  <si>
    <t>Eletroduto aparente de PVC rígido roscável diâmetro 1"</t>
  </si>
  <si>
    <t>Eletroduto flexível corrugado 3/4" , marca de referência TIGRE</t>
  </si>
  <si>
    <t>Eletroduto flexível corrugado 1", marca de referência TIGRE</t>
  </si>
  <si>
    <t>Fio de cobre termoplástico, com isolamento para 750V, seção de 1.5 mm2</t>
  </si>
  <si>
    <t>Fio de cobre termoplástico, com isolamento para 750V, seção de 2.5 mm2</t>
  </si>
  <si>
    <t>Fio ou cabo de cobre termoplástico, com isolamento para 750V, seção de 4.0 mm2</t>
  </si>
  <si>
    <t>APARELHOS ELÉTRICOS</t>
  </si>
  <si>
    <t>Interruptor de uma tecla paralelo 10A/250V, com placa 4x2"</t>
  </si>
  <si>
    <r>
      <rPr>
        <b/>
        <sz val="11"/>
        <rFont val="Arial Narrow"/>
        <family val="2"/>
      </rPr>
      <t xml:space="preserve">OBRA: </t>
    </r>
    <r>
      <rPr>
        <sz val="11"/>
        <rFont val="Arial Narrow"/>
        <family val="2"/>
      </rPr>
      <t xml:space="preserve"> REFORMA E AMPLIAÇÃO CEIM SÃO PEDRO                  </t>
    </r>
  </si>
  <si>
    <t>Ventilador de teto base madeira sem alojamento para luminária, ref. Tron ou equivalente, com comando de interruptor simples, sem dimer para regulagem de velocidade</t>
  </si>
  <si>
    <t>13.06</t>
  </si>
  <si>
    <t>13.07</t>
  </si>
  <si>
    <t>13.08</t>
  </si>
  <si>
    <t>13.09</t>
  </si>
  <si>
    <t>13.10</t>
  </si>
  <si>
    <t>13.11</t>
  </si>
  <si>
    <t>13.12</t>
  </si>
  <si>
    <t>13.13</t>
  </si>
  <si>
    <t>13.14</t>
  </si>
  <si>
    <t>13.15</t>
  </si>
  <si>
    <t>13.16</t>
  </si>
  <si>
    <t>13.17</t>
  </si>
  <si>
    <t>13.02.01</t>
  </si>
  <si>
    <t>13.02.02</t>
  </si>
  <si>
    <t>Derivação do ramal de entrada subterrânea em baixa tensão, trifásico</t>
  </si>
  <si>
    <t>13.02.03</t>
  </si>
  <si>
    <t>13.18</t>
  </si>
  <si>
    <t>13.02.04</t>
  </si>
  <si>
    <t xml:space="preserve"> Padrão de entrada de energia elétrica, bifásico, entrada aérea, a 3 fios, carga instalada de 9001 até 15000W, instalada em muro </t>
  </si>
  <si>
    <t>Fio ou cabo de cobre termoplástico, com isolamento para 0.6/1000V - 70º, seção de 16.0 mm2</t>
  </si>
  <si>
    <t>COBERTURA EM TELHA CERAMICA TIPO COLONIAL, COM ARGAMASSA TRACO 1:3 (CIMENTO E AREIA)</t>
  </si>
  <si>
    <t>73938/001</t>
  </si>
  <si>
    <t>ESTRUTURA EM MADEIRA APARELHADA, PARA TELHA CERAMICA, APOIADA EM PAREDE</t>
  </si>
  <si>
    <t>73931/003</t>
  </si>
</sst>
</file>

<file path=xl/styles.xml><?xml version="1.0" encoding="utf-8"?>
<styleSheet xmlns="http://schemas.openxmlformats.org/spreadsheetml/2006/main">
  <numFmts count="13">
    <numFmt numFmtId="7" formatCode="&quot;R$&quot;\ #,##0.00;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d/m;@"/>
    <numFmt numFmtId="166" formatCode="_-* #,##0.000_-;\-* #,##0.000_-;_-* &quot;-&quot;??_-;_-@_-"/>
    <numFmt numFmtId="167" formatCode="_(&quot;R$ &quot;* #,##0.00_);_(&quot;R$ &quot;* \(#,##0.00\);_(&quot;R$ &quot;* &quot;-&quot;??_);_(@_)"/>
    <numFmt numFmtId="168" formatCode="_(* #,##0_);_(* \(#,##0\);_(* &quot;-&quot;_);_(@_)"/>
    <numFmt numFmtId="169" formatCode="&quot;R$ &quot;#,##0_);\(&quot;R$ &quot;#,##0\)"/>
    <numFmt numFmtId="170" formatCode="[=0]\-;[&lt;0.9999]?0.0%;0%"/>
    <numFmt numFmtId="171" formatCode="0.000"/>
    <numFmt numFmtId="172" formatCode="_-* #,##0.000_-;\-* #,##0.000_-;_-* &quot;-&quot;???_-;_-@_-"/>
    <numFmt numFmtId="173" formatCode="&quot;R$&quot;\ #,##0.00"/>
  </numFmts>
  <fonts count="62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b/>
      <sz val="12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sz val="11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i/>
      <sz val="12"/>
      <name val="Arial"/>
      <family val="2"/>
    </font>
    <font>
      <b/>
      <sz val="15"/>
      <color indexed="56"/>
      <name val="Calibri"/>
      <family val="2"/>
    </font>
    <font>
      <sz val="10"/>
      <name val="Arial Narrow"/>
      <family val="2"/>
    </font>
    <font>
      <b/>
      <sz val="10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10"/>
      <name val="Calibri"/>
      <family val="2"/>
    </font>
    <font>
      <b/>
      <sz val="11"/>
      <color indexed="8"/>
      <name val="Arial Narrow"/>
      <family val="2"/>
    </font>
    <font>
      <b/>
      <sz val="14"/>
      <name val="Arial Narrow"/>
      <family val="2"/>
    </font>
    <font>
      <sz val="11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9"/>
      <name val="Arial"/>
      <family val="2"/>
    </font>
    <font>
      <sz val="14.3"/>
      <name val="Arial Narrow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1"/>
    </font>
    <font>
      <sz val="11"/>
      <color theme="1"/>
      <name val="Calibri"/>
      <family val="2"/>
      <charset val="134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i/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26"/>
        <bgColor indexed="41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83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3">
    <xf numFmtId="0" fontId="0" fillId="0" borderId="0"/>
    <xf numFmtId="0" fontId="32" fillId="0" borderId="0" applyBorder="0" applyProtection="0"/>
    <xf numFmtId="0" fontId="8" fillId="0" borderId="0"/>
    <xf numFmtId="44" fontId="3" fillId="0" borderId="0" applyFill="0" applyBorder="0" applyAlignment="0" applyProtection="0"/>
    <xf numFmtId="44" fontId="33" fillId="0" borderId="0" applyFont="0" applyFill="0" applyBorder="0" applyAlignment="0" applyProtection="0"/>
    <xf numFmtId="167" fontId="31" fillId="0" borderId="0" applyFont="0" applyFill="0" applyBorder="0" applyAlignment="0" applyProtection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3" fillId="0" borderId="0">
      <alignment vertical="center"/>
    </xf>
    <xf numFmtId="0" fontId="3" fillId="0" borderId="0"/>
    <xf numFmtId="9" fontId="3" fillId="0" borderId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" fillId="0" borderId="0" applyFill="0" applyBorder="0" applyAlignment="0" applyProtection="0"/>
    <xf numFmtId="43" fontId="31" fillId="0" borderId="0" applyFont="0" applyFill="0" applyBorder="0" applyAlignment="0" applyProtection="0"/>
    <xf numFmtId="164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17" fillId="0" borderId="1" applyNumberFormat="0" applyFill="0" applyAlignment="0" applyProtection="0"/>
    <xf numFmtId="0" fontId="17" fillId="0" borderId="1" applyNumberFormat="0" applyFill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</cellStyleXfs>
  <cellXfs count="111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Protection="1">
      <protection hidden="1"/>
    </xf>
    <xf numFmtId="164" fontId="1" fillId="0" borderId="0" xfId="17" applyNumberFormat="1" applyFont="1" applyFill="1" applyBorder="1" applyAlignment="1" applyProtection="1">
      <alignment horizontal="right" vertical="center"/>
      <protection hidden="1"/>
    </xf>
    <xf numFmtId="0" fontId="0" fillId="4" borderId="0" xfId="0" applyFill="1" applyAlignment="1">
      <alignment vertical="center"/>
    </xf>
    <xf numFmtId="0" fontId="2" fillId="0" borderId="0" xfId="0" applyFont="1" applyBorder="1" applyProtection="1">
      <protection hidden="1"/>
    </xf>
    <xf numFmtId="0" fontId="0" fillId="0" borderId="0" xfId="0" applyBorder="1"/>
    <xf numFmtId="0" fontId="0" fillId="0" borderId="2" xfId="0" applyBorder="1" applyAlignment="1">
      <alignment horizontal="center" vertical="center"/>
    </xf>
    <xf numFmtId="0" fontId="3" fillId="0" borderId="0" xfId="7" applyAlignment="1">
      <alignment wrapText="1"/>
    </xf>
    <xf numFmtId="0" fontId="3" fillId="0" borderId="0" xfId="7"/>
    <xf numFmtId="0" fontId="6" fillId="0" borderId="2" xfId="7" applyFont="1" applyFill="1" applyBorder="1" applyAlignment="1">
      <alignment vertical="center"/>
    </xf>
    <xf numFmtId="0" fontId="9" fillId="2" borderId="2" xfId="2" applyFont="1" applyFill="1" applyBorder="1" applyAlignment="1">
      <alignment horizontal="center" vertical="center"/>
    </xf>
    <xf numFmtId="14" fontId="9" fillId="2" borderId="2" xfId="2" applyNumberFormat="1" applyFont="1" applyFill="1" applyBorder="1" applyAlignment="1">
      <alignment horizontal="center" vertical="center"/>
    </xf>
    <xf numFmtId="7" fontId="0" fillId="0" borderId="2" xfId="0" applyNumberFormat="1" applyBorder="1" applyAlignment="1">
      <alignment horizontal="center" vertical="center"/>
    </xf>
    <xf numFmtId="10" fontId="0" fillId="0" borderId="2" xfId="0" applyNumberFormat="1" applyBorder="1" applyAlignment="1">
      <alignment horizontal="center" vertical="center"/>
    </xf>
    <xf numFmtId="7" fontId="34" fillId="0" borderId="2" xfId="0" applyNumberFormat="1" applyFont="1" applyBorder="1" applyAlignment="1">
      <alignment horizontal="center" vertical="center"/>
    </xf>
    <xf numFmtId="10" fontId="3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1" fillId="0" borderId="0" xfId="9" applyFont="1"/>
    <xf numFmtId="0" fontId="11" fillId="0" borderId="0" xfId="6" applyFont="1"/>
    <xf numFmtId="0" fontId="12" fillId="2" borderId="0" xfId="2" applyFont="1" applyFill="1" applyBorder="1" applyAlignment="1">
      <alignment horizontal="center" vertical="center"/>
    </xf>
    <xf numFmtId="14" fontId="12" fillId="2" borderId="0" xfId="2" applyNumberFormat="1" applyFont="1" applyFill="1" applyBorder="1" applyAlignment="1">
      <alignment horizontal="center" vertical="center"/>
    </xf>
    <xf numFmtId="0" fontId="6" fillId="0" borderId="0" xfId="6" applyFont="1" applyFill="1" applyBorder="1" applyAlignment="1">
      <alignment horizontal="right" vertical="center"/>
    </xf>
    <xf numFmtId="165" fontId="6" fillId="0" borderId="0" xfId="6" applyNumberFormat="1" applyFont="1" applyFill="1" applyBorder="1" applyAlignment="1">
      <alignment vertical="center"/>
    </xf>
    <xf numFmtId="0" fontId="4" fillId="0" borderId="0" xfId="6" applyFont="1" applyFill="1" applyBorder="1" applyAlignment="1">
      <alignment vertical="center"/>
    </xf>
    <xf numFmtId="0" fontId="6" fillId="0" borderId="0" xfId="6" applyFont="1" applyFill="1" applyBorder="1" applyAlignment="1">
      <alignment vertical="center"/>
    </xf>
    <xf numFmtId="0" fontId="7" fillId="0" borderId="0" xfId="6" applyFont="1" applyFill="1" applyBorder="1" applyAlignment="1">
      <alignment vertical="center"/>
    </xf>
    <xf numFmtId="0" fontId="35" fillId="5" borderId="0" xfId="0" applyFont="1" applyFill="1" applyBorder="1" applyAlignment="1">
      <alignment vertical="center" wrapText="1"/>
    </xf>
    <xf numFmtId="0" fontId="13" fillId="0" borderId="0" xfId="9" applyFont="1" applyFill="1" applyBorder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6" fillId="5" borderId="3" xfId="7" applyFont="1" applyFill="1" applyBorder="1" applyAlignment="1">
      <alignment vertical="center"/>
    </xf>
    <xf numFmtId="0" fontId="6" fillId="5" borderId="4" xfId="7" applyFont="1" applyFill="1" applyBorder="1" applyAlignment="1">
      <alignment vertical="center"/>
    </xf>
    <xf numFmtId="0" fontId="6" fillId="5" borderId="5" xfId="7" applyFont="1" applyFill="1" applyBorder="1" applyAlignment="1">
      <alignment vertical="center"/>
    </xf>
    <xf numFmtId="0" fontId="3" fillId="0" borderId="0" xfId="6"/>
    <xf numFmtId="0" fontId="13" fillId="0" borderId="0" xfId="6" applyFont="1" applyAlignment="1">
      <alignment horizontal="center"/>
    </xf>
    <xf numFmtId="0" fontId="3" fillId="5" borderId="6" xfId="6" applyFill="1" applyBorder="1"/>
    <xf numFmtId="0" fontId="3" fillId="5" borderId="0" xfId="6" applyFill="1" applyBorder="1"/>
    <xf numFmtId="0" fontId="3" fillId="5" borderId="7" xfId="6" applyFill="1" applyBorder="1"/>
    <xf numFmtId="0" fontId="11" fillId="5" borderId="6" xfId="6" applyFont="1" applyFill="1" applyBorder="1" applyAlignment="1"/>
    <xf numFmtId="0" fontId="11" fillId="5" borderId="0" xfId="6" applyFont="1" applyFill="1" applyBorder="1" applyAlignment="1"/>
    <xf numFmtId="0" fontId="11" fillId="5" borderId="7" xfId="6" applyFont="1" applyFill="1" applyBorder="1" applyAlignment="1"/>
    <xf numFmtId="0" fontId="11" fillId="0" borderId="0" xfId="6" applyFont="1" applyAlignment="1"/>
    <xf numFmtId="0" fontId="3" fillId="5" borderId="6" xfId="6" applyFont="1" applyFill="1" applyBorder="1" applyAlignment="1">
      <alignment horizontal="center"/>
    </xf>
    <xf numFmtId="0" fontId="3" fillId="5" borderId="0" xfId="6" applyFont="1" applyFill="1" applyBorder="1" applyAlignment="1">
      <alignment horizontal="center"/>
    </xf>
    <xf numFmtId="0" fontId="3" fillId="5" borderId="7" xfId="6" applyFont="1" applyFill="1" applyBorder="1" applyAlignment="1">
      <alignment horizontal="center"/>
    </xf>
    <xf numFmtId="0" fontId="3" fillId="0" borderId="0" xfId="6" applyFont="1" applyAlignment="1">
      <alignment horizontal="center"/>
    </xf>
    <xf numFmtId="0" fontId="13" fillId="5" borderId="6" xfId="6" applyFont="1" applyFill="1" applyBorder="1" applyAlignment="1">
      <alignment horizontal="justify"/>
    </xf>
    <xf numFmtId="0" fontId="11" fillId="5" borderId="0" xfId="6" applyFont="1" applyFill="1" applyBorder="1"/>
    <xf numFmtId="0" fontId="11" fillId="5" borderId="6" xfId="6" applyFont="1" applyFill="1" applyBorder="1" applyAlignment="1">
      <alignment horizontal="justify" vertical="top" wrapText="1"/>
    </xf>
    <xf numFmtId="2" fontId="11" fillId="5" borderId="0" xfId="6" applyNumberFormat="1" applyFont="1" applyFill="1" applyBorder="1" applyAlignment="1">
      <alignment horizontal="right" vertical="top" wrapText="1"/>
    </xf>
    <xf numFmtId="0" fontId="11" fillId="5" borderId="0" xfId="6" applyFont="1" applyFill="1" applyBorder="1" applyAlignment="1">
      <alignment horizontal="justify" vertical="top" wrapText="1"/>
    </xf>
    <xf numFmtId="0" fontId="15" fillId="5" borderId="6" xfId="6" applyFont="1" applyFill="1" applyBorder="1" applyAlignment="1">
      <alignment horizontal="right" vertical="top" wrapText="1"/>
    </xf>
    <xf numFmtId="4" fontId="15" fillId="5" borderId="0" xfId="6" applyNumberFormat="1" applyFont="1" applyFill="1" applyBorder="1" applyAlignment="1">
      <alignment horizontal="right" vertical="top" wrapText="1"/>
    </xf>
    <xf numFmtId="0" fontId="15" fillId="5" borderId="0" xfId="6" applyFont="1" applyFill="1" applyBorder="1" applyAlignment="1">
      <alignment horizontal="justify" vertical="top" wrapText="1"/>
    </xf>
    <xf numFmtId="0" fontId="11" fillId="5" borderId="6" xfId="6" applyFont="1" applyFill="1" applyBorder="1" applyAlignment="1">
      <alignment horizontal="justify"/>
    </xf>
    <xf numFmtId="2" fontId="11" fillId="5" borderId="0" xfId="6" applyNumberFormat="1" applyFont="1" applyFill="1" applyBorder="1"/>
    <xf numFmtId="0" fontId="16" fillId="5" borderId="0" xfId="6" applyFont="1" applyFill="1" applyBorder="1" applyAlignment="1">
      <alignment horizontal="justify" vertical="top" wrapText="1"/>
    </xf>
    <xf numFmtId="0" fontId="16" fillId="5" borderId="6" xfId="6" applyFont="1" applyFill="1" applyBorder="1" applyAlignment="1">
      <alignment horizontal="justify"/>
    </xf>
    <xf numFmtId="2" fontId="16" fillId="5" borderId="0" xfId="6" applyNumberFormat="1" applyFont="1" applyFill="1" applyBorder="1" applyAlignment="1">
      <alignment horizontal="right" vertical="top" wrapText="1"/>
    </xf>
    <xf numFmtId="0" fontId="16" fillId="5" borderId="6" xfId="6" applyFont="1" applyFill="1" applyBorder="1" applyAlignment="1">
      <alignment horizontal="justify" vertical="top" wrapText="1"/>
    </xf>
    <xf numFmtId="2" fontId="15" fillId="5" borderId="0" xfId="6" applyNumberFormat="1" applyFont="1" applyFill="1" applyBorder="1" applyAlignment="1">
      <alignment horizontal="right" vertical="top" wrapText="1"/>
    </xf>
    <xf numFmtId="2" fontId="13" fillId="5" borderId="0" xfId="6" applyNumberFormat="1" applyFont="1" applyFill="1" applyBorder="1" applyAlignment="1">
      <alignment horizontal="right" vertical="top" wrapText="1"/>
    </xf>
    <xf numFmtId="0" fontId="15" fillId="5" borderId="7" xfId="6" applyFont="1" applyFill="1" applyBorder="1" applyAlignment="1">
      <alignment horizontal="justify" vertical="top" wrapText="1"/>
    </xf>
    <xf numFmtId="0" fontId="1" fillId="5" borderId="6" xfId="6" applyFont="1" applyFill="1" applyBorder="1" applyAlignment="1">
      <alignment wrapText="1"/>
    </xf>
    <xf numFmtId="0" fontId="3" fillId="5" borderId="8" xfId="6" applyFill="1" applyBorder="1"/>
    <xf numFmtId="0" fontId="3" fillId="5" borderId="9" xfId="6" applyFill="1" applyBorder="1"/>
    <xf numFmtId="0" fontId="3" fillId="5" borderId="10" xfId="6" applyFill="1" applyBorder="1"/>
    <xf numFmtId="0" fontId="3" fillId="0" borderId="0" xfId="6" applyBorder="1"/>
    <xf numFmtId="0" fontId="36" fillId="5" borderId="0" xfId="8" applyFont="1" applyFill="1" applyBorder="1"/>
    <xf numFmtId="0" fontId="37" fillId="5" borderId="11" xfId="8" applyFont="1" applyFill="1" applyBorder="1" applyAlignment="1">
      <alignment horizontal="center" vertical="center"/>
    </xf>
    <xf numFmtId="43" fontId="37" fillId="5" borderId="12" xfId="19" applyFont="1" applyFill="1" applyBorder="1" applyAlignment="1">
      <alignment horizontal="center" vertical="center"/>
    </xf>
    <xf numFmtId="0" fontId="36" fillId="5" borderId="0" xfId="8" applyFont="1" applyFill="1"/>
    <xf numFmtId="0" fontId="37" fillId="6" borderId="11" xfId="8" applyFont="1" applyFill="1" applyBorder="1" applyAlignment="1">
      <alignment horizontal="center" vertical="center"/>
    </xf>
    <xf numFmtId="0" fontId="37" fillId="7" borderId="11" xfId="8" applyFont="1" applyFill="1" applyBorder="1" applyAlignment="1">
      <alignment horizontal="center" vertical="center"/>
    </xf>
    <xf numFmtId="43" fontId="38" fillId="7" borderId="13" xfId="19" applyFont="1" applyFill="1" applyBorder="1" applyAlignment="1">
      <alignment horizontal="center" vertical="center"/>
    </xf>
    <xf numFmtId="43" fontId="37" fillId="7" borderId="12" xfId="19" applyFont="1" applyFill="1" applyBorder="1" applyAlignment="1">
      <alignment horizontal="center" vertical="center"/>
    </xf>
    <xf numFmtId="0" fontId="36" fillId="0" borderId="14" xfId="8" applyFont="1" applyFill="1" applyBorder="1" applyAlignment="1">
      <alignment horizontal="center" vertical="center"/>
    </xf>
    <xf numFmtId="43" fontId="37" fillId="5" borderId="15" xfId="19" applyFont="1" applyFill="1" applyBorder="1" applyAlignment="1">
      <alignment horizontal="center" vertical="center"/>
    </xf>
    <xf numFmtId="0" fontId="36" fillId="0" borderId="14" xfId="8" applyFont="1" applyFill="1" applyBorder="1" applyAlignment="1">
      <alignment horizontal="right" vertical="center"/>
    </xf>
    <xf numFmtId="43" fontId="36" fillId="0" borderId="2" xfId="19" applyFont="1" applyFill="1" applyBorder="1" applyAlignment="1">
      <alignment vertical="center"/>
    </xf>
    <xf numFmtId="0" fontId="36" fillId="0" borderId="0" xfId="8" applyFont="1" applyFill="1" applyBorder="1" applyAlignment="1">
      <alignment vertical="center"/>
    </xf>
    <xf numFmtId="0" fontId="36" fillId="0" borderId="16" xfId="8" applyFont="1" applyFill="1" applyBorder="1" applyAlignment="1">
      <alignment vertical="center"/>
    </xf>
    <xf numFmtId="43" fontId="36" fillId="0" borderId="17" xfId="19" applyFont="1" applyFill="1" applyBorder="1" applyAlignment="1">
      <alignment vertical="center"/>
    </xf>
    <xf numFmtId="43" fontId="36" fillId="0" borderId="17" xfId="19" applyFont="1" applyFill="1" applyBorder="1" applyAlignment="1">
      <alignment horizontal="center" vertical="center"/>
    </xf>
    <xf numFmtId="0" fontId="36" fillId="0" borderId="18" xfId="8" applyFont="1" applyFill="1" applyBorder="1" applyAlignment="1">
      <alignment vertical="center"/>
    </xf>
    <xf numFmtId="0" fontId="36" fillId="0" borderId="19" xfId="8" applyFont="1" applyFill="1" applyBorder="1" applyAlignment="1">
      <alignment vertical="center"/>
    </xf>
    <xf numFmtId="0" fontId="36" fillId="0" borderId="20" xfId="8" applyFont="1" applyFill="1" applyBorder="1" applyAlignment="1">
      <alignment vertical="center"/>
    </xf>
    <xf numFmtId="43" fontId="36" fillId="0" borderId="20" xfId="19" applyFont="1" applyFill="1" applyBorder="1" applyAlignment="1">
      <alignment vertical="center"/>
    </xf>
    <xf numFmtId="0" fontId="36" fillId="0" borderId="15" xfId="8" applyFont="1" applyFill="1" applyBorder="1" applyAlignment="1">
      <alignment vertical="center"/>
    </xf>
    <xf numFmtId="0" fontId="38" fillId="7" borderId="13" xfId="8" applyFont="1" applyFill="1" applyBorder="1" applyAlignment="1">
      <alignment vertical="center"/>
    </xf>
    <xf numFmtId="43" fontId="36" fillId="7" borderId="13" xfId="19" applyFont="1" applyFill="1" applyBorder="1" applyAlignment="1">
      <alignment vertical="center"/>
    </xf>
    <xf numFmtId="43" fontId="36" fillId="0" borderId="14" xfId="19" applyFont="1" applyFill="1" applyBorder="1" applyAlignment="1">
      <alignment vertical="center"/>
    </xf>
    <xf numFmtId="0" fontId="36" fillId="0" borderId="17" xfId="8" applyFont="1" applyFill="1" applyBorder="1" applyAlignment="1">
      <alignment vertical="center"/>
    </xf>
    <xf numFmtId="0" fontId="36" fillId="0" borderId="21" xfId="8" applyFont="1" applyFill="1" applyBorder="1" applyAlignment="1">
      <alignment vertical="center"/>
    </xf>
    <xf numFmtId="0" fontId="36" fillId="0" borderId="22" xfId="8" applyFont="1" applyFill="1" applyBorder="1" applyAlignment="1">
      <alignment vertical="center"/>
    </xf>
    <xf numFmtId="0" fontId="36" fillId="0" borderId="14" xfId="8" applyFont="1" applyFill="1" applyBorder="1" applyAlignment="1">
      <alignment vertical="center"/>
    </xf>
    <xf numFmtId="0" fontId="36" fillId="0" borderId="18" xfId="8" applyFont="1" applyFill="1" applyBorder="1" applyAlignment="1">
      <alignment horizontal="center" vertical="center"/>
    </xf>
    <xf numFmtId="43" fontId="36" fillId="0" borderId="23" xfId="19" applyFont="1" applyFill="1" applyBorder="1" applyAlignment="1">
      <alignment vertical="center"/>
    </xf>
    <xf numFmtId="0" fontId="37" fillId="5" borderId="16" xfId="8" applyFont="1" applyFill="1" applyBorder="1" applyAlignment="1">
      <alignment horizontal="center" vertical="center"/>
    </xf>
    <xf numFmtId="43" fontId="38" fillId="5" borderId="14" xfId="19" applyFont="1" applyFill="1" applyBorder="1" applyAlignment="1">
      <alignment horizontal="center" vertical="center"/>
    </xf>
    <xf numFmtId="43" fontId="37" fillId="5" borderId="18" xfId="19" applyFont="1" applyFill="1" applyBorder="1" applyAlignment="1">
      <alignment horizontal="center" vertical="center"/>
    </xf>
    <xf numFmtId="43" fontId="36" fillId="0" borderId="24" xfId="19" applyFont="1" applyFill="1" applyBorder="1" applyAlignment="1">
      <alignment vertical="center"/>
    </xf>
    <xf numFmtId="0" fontId="37" fillId="6" borderId="19" xfId="8" applyFont="1" applyFill="1" applyBorder="1" applyAlignment="1">
      <alignment horizontal="center"/>
    </xf>
    <xf numFmtId="43" fontId="36" fillId="0" borderId="14" xfId="19" applyFont="1" applyFill="1" applyBorder="1" applyAlignment="1">
      <alignment horizontal="center" vertical="center"/>
    </xf>
    <xf numFmtId="0" fontId="36" fillId="0" borderId="2" xfId="8" applyFont="1" applyFill="1" applyBorder="1" applyAlignment="1">
      <alignment vertical="center"/>
    </xf>
    <xf numFmtId="2" fontId="36" fillId="0" borderId="2" xfId="8" applyNumberFormat="1" applyFont="1" applyFill="1" applyBorder="1" applyAlignment="1">
      <alignment vertical="center"/>
    </xf>
    <xf numFmtId="0" fontId="37" fillId="6" borderId="11" xfId="8" applyFont="1" applyFill="1" applyBorder="1" applyAlignment="1">
      <alignment horizontal="center"/>
    </xf>
    <xf numFmtId="0" fontId="36" fillId="5" borderId="14" xfId="8" applyFont="1" applyFill="1" applyBorder="1" applyAlignment="1">
      <alignment horizontal="center"/>
    </xf>
    <xf numFmtId="43" fontId="36" fillId="5" borderId="18" xfId="19" applyFont="1" applyFill="1" applyBorder="1" applyAlignment="1">
      <alignment vertical="center"/>
    </xf>
    <xf numFmtId="0" fontId="36" fillId="0" borderId="2" xfId="8" applyFont="1" applyFill="1" applyBorder="1" applyAlignment="1">
      <alignment horizontal="left" vertical="center"/>
    </xf>
    <xf numFmtId="43" fontId="36" fillId="5" borderId="22" xfId="19" applyFont="1" applyFill="1" applyBorder="1" applyAlignment="1">
      <alignment vertical="center"/>
    </xf>
    <xf numFmtId="43" fontId="36" fillId="5" borderId="20" xfId="19" applyFont="1" applyFill="1" applyBorder="1" applyAlignment="1">
      <alignment horizontal="center"/>
    </xf>
    <xf numFmtId="43" fontId="36" fillId="0" borderId="20" xfId="19" applyFont="1" applyFill="1" applyBorder="1" applyAlignment="1">
      <alignment horizontal="center" vertical="center"/>
    </xf>
    <xf numFmtId="43" fontId="36" fillId="0" borderId="2" xfId="8" applyNumberFormat="1" applyFont="1" applyFill="1" applyBorder="1" applyAlignment="1">
      <alignment vertical="center"/>
    </xf>
    <xf numFmtId="43" fontId="36" fillId="5" borderId="2" xfId="19" applyFont="1" applyFill="1" applyBorder="1" applyAlignment="1">
      <alignment vertical="center"/>
    </xf>
    <xf numFmtId="43" fontId="36" fillId="5" borderId="2" xfId="19" applyFont="1" applyFill="1" applyBorder="1" applyAlignment="1">
      <alignment horizontal="center"/>
    </xf>
    <xf numFmtId="43" fontId="36" fillId="5" borderId="2" xfId="19" applyFont="1" applyFill="1" applyBorder="1" applyAlignment="1">
      <alignment horizontal="center" vertical="center"/>
    </xf>
    <xf numFmtId="43" fontId="36" fillId="5" borderId="14" xfId="19" applyFont="1" applyFill="1" applyBorder="1" applyAlignment="1">
      <alignment horizontal="center" vertical="center"/>
    </xf>
    <xf numFmtId="43" fontId="36" fillId="5" borderId="14" xfId="19" applyFont="1" applyFill="1" applyBorder="1" applyAlignment="1">
      <alignment vertical="center"/>
    </xf>
    <xf numFmtId="43" fontId="36" fillId="0" borderId="2" xfId="19" applyFont="1" applyFill="1" applyBorder="1" applyAlignment="1">
      <alignment horizontal="center" vertical="center" wrapText="1"/>
    </xf>
    <xf numFmtId="43" fontId="36" fillId="0" borderId="23" xfId="19" applyFont="1" applyFill="1" applyBorder="1" applyAlignment="1">
      <alignment horizontal="center" vertical="center"/>
    </xf>
    <xf numFmtId="43" fontId="36" fillId="5" borderId="2" xfId="19" applyFont="1" applyFill="1" applyBorder="1"/>
    <xf numFmtId="43" fontId="36" fillId="5" borderId="20" xfId="19" applyFont="1" applyFill="1" applyBorder="1"/>
    <xf numFmtId="0" fontId="36" fillId="0" borderId="25" xfId="8" applyFont="1" applyFill="1" applyBorder="1" applyAlignment="1">
      <alignment vertical="center"/>
    </xf>
    <xf numFmtId="43" fontId="36" fillId="5" borderId="2" xfId="17" applyNumberFormat="1" applyFont="1" applyFill="1" applyBorder="1" applyAlignment="1">
      <alignment horizontal="center"/>
    </xf>
    <xf numFmtId="43" fontId="36" fillId="5" borderId="2" xfId="17" applyFont="1" applyFill="1" applyBorder="1" applyAlignment="1">
      <alignment horizontal="right"/>
    </xf>
    <xf numFmtId="43" fontId="36" fillId="0" borderId="2" xfId="17" applyFont="1" applyFill="1" applyBorder="1" applyAlignment="1">
      <alignment horizontal="center" vertical="center"/>
    </xf>
    <xf numFmtId="0" fontId="36" fillId="0" borderId="26" xfId="8" applyFont="1" applyFill="1" applyBorder="1" applyAlignment="1">
      <alignment horizontal="center" vertical="center"/>
    </xf>
    <xf numFmtId="0" fontId="36" fillId="0" borderId="27" xfId="8" applyFont="1" applyFill="1" applyBorder="1" applyAlignment="1">
      <alignment horizontal="center" vertical="center"/>
    </xf>
    <xf numFmtId="43" fontId="37" fillId="7" borderId="12" xfId="19" applyFont="1" applyFill="1" applyBorder="1" applyAlignment="1">
      <alignment horizontal="center"/>
    </xf>
    <xf numFmtId="43" fontId="36" fillId="5" borderId="20" xfId="19" applyFont="1" applyFill="1" applyBorder="1" applyAlignment="1">
      <alignment vertical="center"/>
    </xf>
    <xf numFmtId="43" fontId="38" fillId="5" borderId="17" xfId="19" applyFont="1" applyFill="1" applyBorder="1" applyAlignment="1">
      <alignment horizontal="center" vertical="center"/>
    </xf>
    <xf numFmtId="43" fontId="36" fillId="5" borderId="23" xfId="19" applyFont="1" applyFill="1" applyBorder="1" applyAlignment="1">
      <alignment vertical="center"/>
    </xf>
    <xf numFmtId="0" fontId="36" fillId="5" borderId="16" xfId="8" applyFont="1" applyFill="1" applyBorder="1" applyAlignment="1">
      <alignment horizontal="center" vertical="center"/>
    </xf>
    <xf numFmtId="0" fontId="36" fillId="5" borderId="25" xfId="8" applyFont="1" applyFill="1" applyBorder="1" applyAlignment="1">
      <alignment horizontal="center" vertical="center"/>
    </xf>
    <xf numFmtId="0" fontId="36" fillId="5" borderId="21" xfId="8" applyFont="1" applyFill="1" applyBorder="1" applyAlignment="1">
      <alignment horizontal="center" vertical="center"/>
    </xf>
    <xf numFmtId="43" fontId="37" fillId="7" borderId="12" xfId="19" applyFont="1" applyFill="1" applyBorder="1" applyAlignment="1">
      <alignment vertical="center"/>
    </xf>
    <xf numFmtId="43" fontId="37" fillId="7" borderId="29" xfId="19" applyFont="1" applyFill="1" applyBorder="1" applyAlignment="1">
      <alignment horizontal="center" vertical="center"/>
    </xf>
    <xf numFmtId="43" fontId="40" fillId="5" borderId="14" xfId="19" applyFont="1" applyFill="1" applyBorder="1" applyAlignment="1">
      <alignment vertical="center"/>
    </xf>
    <xf numFmtId="0" fontId="40" fillId="5" borderId="0" xfId="8" applyFont="1" applyFill="1" applyBorder="1"/>
    <xf numFmtId="43" fontId="36" fillId="5" borderId="18" xfId="19" applyFont="1" applyFill="1" applyBorder="1" applyAlignment="1">
      <alignment horizontal="center" vertical="center"/>
    </xf>
    <xf numFmtId="164" fontId="36" fillId="0" borderId="2" xfId="24" applyNumberFormat="1" applyFont="1" applyFill="1" applyBorder="1"/>
    <xf numFmtId="164" fontId="36" fillId="0" borderId="2" xfId="24" applyNumberFormat="1" applyFont="1" applyFill="1" applyBorder="1" applyAlignment="1">
      <alignment horizontal="center"/>
    </xf>
    <xf numFmtId="164" fontId="31" fillId="0" borderId="23" xfId="24" applyNumberFormat="1" applyFont="1" applyFill="1" applyBorder="1"/>
    <xf numFmtId="0" fontId="36" fillId="5" borderId="0" xfId="8" applyFont="1" applyFill="1" applyBorder="1" applyAlignment="1">
      <alignment horizontal="center" vertical="center"/>
    </xf>
    <xf numFmtId="43" fontId="36" fillId="5" borderId="0" xfId="19" applyFont="1" applyFill="1" applyBorder="1" applyAlignment="1">
      <alignment vertical="center"/>
    </xf>
    <xf numFmtId="0" fontId="37" fillId="7" borderId="30" xfId="8" applyFont="1" applyFill="1" applyBorder="1" applyAlignment="1">
      <alignment horizontal="center" vertical="center"/>
    </xf>
    <xf numFmtId="43" fontId="38" fillId="7" borderId="31" xfId="19" applyFont="1" applyFill="1" applyBorder="1" applyAlignment="1">
      <alignment horizontal="center" vertical="center"/>
    </xf>
    <xf numFmtId="43" fontId="37" fillId="7" borderId="32" xfId="19" applyFont="1" applyFill="1" applyBorder="1" applyAlignment="1">
      <alignment horizontal="center" vertical="center"/>
    </xf>
    <xf numFmtId="43" fontId="37" fillId="5" borderId="2" xfId="19" applyFont="1" applyFill="1" applyBorder="1" applyAlignment="1">
      <alignment horizontal="left" vertical="center"/>
    </xf>
    <xf numFmtId="43" fontId="37" fillId="5" borderId="20" xfId="19" applyFont="1" applyFill="1" applyBorder="1" applyAlignment="1">
      <alignment horizontal="left" vertical="center"/>
    </xf>
    <xf numFmtId="43" fontId="36" fillId="5" borderId="20" xfId="19" applyFont="1" applyFill="1" applyBorder="1" applyAlignment="1">
      <alignment horizontal="left" vertical="center"/>
    </xf>
    <xf numFmtId="2" fontId="36" fillId="0" borderId="14" xfId="8" applyNumberFormat="1" applyFont="1" applyFill="1" applyBorder="1" applyAlignment="1">
      <alignment horizontal="right" vertical="center"/>
    </xf>
    <xf numFmtId="0" fontId="36" fillId="0" borderId="2" xfId="8" applyFont="1" applyFill="1" applyBorder="1" applyAlignment="1">
      <alignment horizontal="right" vertical="center"/>
    </xf>
    <xf numFmtId="43" fontId="36" fillId="0" borderId="2" xfId="17" applyFont="1" applyFill="1" applyBorder="1" applyAlignment="1">
      <alignment horizontal="right" vertical="center"/>
    </xf>
    <xf numFmtId="43" fontId="38" fillId="7" borderId="33" xfId="19" applyFont="1" applyFill="1" applyBorder="1" applyAlignment="1">
      <alignment horizontal="center" vertical="center"/>
    </xf>
    <xf numFmtId="0" fontId="36" fillId="0" borderId="34" xfId="8" applyFont="1" applyFill="1" applyBorder="1" applyAlignment="1">
      <alignment horizontal="center" vertical="center"/>
    </xf>
    <xf numFmtId="43" fontId="36" fillId="0" borderId="2" xfId="19" applyFont="1" applyFill="1" applyBorder="1" applyAlignment="1">
      <alignment horizontal="left" vertical="center"/>
    </xf>
    <xf numFmtId="0" fontId="36" fillId="0" borderId="35" xfId="8" applyFont="1" applyFill="1" applyBorder="1" applyAlignment="1">
      <alignment horizontal="left" vertical="center"/>
    </xf>
    <xf numFmtId="43" fontId="36" fillId="0" borderId="20" xfId="19" applyFont="1" applyFill="1" applyBorder="1" applyAlignment="1">
      <alignment horizontal="center" vertical="center" wrapText="1"/>
    </xf>
    <xf numFmtId="43" fontId="36" fillId="5" borderId="20" xfId="19" applyFont="1" applyFill="1" applyBorder="1" applyAlignment="1">
      <alignment horizontal="center" vertical="center"/>
    </xf>
    <xf numFmtId="0" fontId="3" fillId="0" borderId="0" xfId="6" applyAlignment="1">
      <alignment vertical="center"/>
    </xf>
    <xf numFmtId="0" fontId="20" fillId="0" borderId="0" xfId="6" applyFont="1" applyFill="1" applyBorder="1" applyAlignment="1">
      <alignment vertical="center"/>
    </xf>
    <xf numFmtId="0" fontId="20" fillId="0" borderId="0" xfId="6" applyFont="1" applyFill="1" applyBorder="1" applyAlignment="1">
      <alignment horizontal="right" vertical="center"/>
    </xf>
    <xf numFmtId="2" fontId="20" fillId="0" borderId="0" xfId="6" applyNumberFormat="1" applyFont="1" applyFill="1" applyBorder="1" applyAlignment="1">
      <alignment vertical="center"/>
    </xf>
    <xf numFmtId="0" fontId="20" fillId="0" borderId="0" xfId="6" applyFont="1" applyFill="1" applyBorder="1" applyAlignment="1">
      <alignment horizontal="center" vertical="center"/>
    </xf>
    <xf numFmtId="0" fontId="19" fillId="3" borderId="4" xfId="6" applyFont="1" applyFill="1" applyBorder="1" applyAlignment="1">
      <alignment vertical="center"/>
    </xf>
    <xf numFmtId="0" fontId="19" fillId="3" borderId="4" xfId="6" applyFont="1" applyFill="1" applyBorder="1" applyAlignment="1">
      <alignment horizontal="right" vertical="center"/>
    </xf>
    <xf numFmtId="2" fontId="19" fillId="3" borderId="4" xfId="6" applyNumberFormat="1" applyFont="1" applyFill="1" applyBorder="1" applyAlignment="1">
      <alignment vertical="center"/>
    </xf>
    <xf numFmtId="0" fontId="19" fillId="3" borderId="4" xfId="6" applyFont="1" applyFill="1" applyBorder="1" applyAlignment="1">
      <alignment horizontal="center" vertical="center"/>
    </xf>
    <xf numFmtId="0" fontId="20" fillId="0" borderId="36" xfId="6" applyFont="1" applyFill="1" applyBorder="1" applyAlignment="1">
      <alignment horizontal="center" vertical="center"/>
    </xf>
    <xf numFmtId="0" fontId="20" fillId="0" borderId="37" xfId="6" applyFont="1" applyFill="1" applyBorder="1" applyAlignment="1">
      <alignment horizontal="right" vertical="center"/>
    </xf>
    <xf numFmtId="0" fontId="20" fillId="0" borderId="37" xfId="6" applyFont="1" applyFill="1" applyBorder="1" applyAlignment="1">
      <alignment horizontal="center" vertical="center"/>
    </xf>
    <xf numFmtId="2" fontId="20" fillId="0" borderId="37" xfId="6" applyNumberFormat="1" applyFont="1" applyFill="1" applyBorder="1" applyAlignment="1">
      <alignment horizontal="center" vertical="center"/>
    </xf>
    <xf numFmtId="0" fontId="20" fillId="0" borderId="2" xfId="6" applyFont="1" applyFill="1" applyBorder="1" applyAlignment="1">
      <alignment horizontal="center" vertical="center" wrapText="1"/>
    </xf>
    <xf numFmtId="2" fontId="20" fillId="0" borderId="2" xfId="6" applyNumberFormat="1" applyFont="1" applyFill="1" applyBorder="1" applyAlignment="1">
      <alignment horizontal="right" vertical="center"/>
    </xf>
    <xf numFmtId="0" fontId="41" fillId="0" borderId="2" xfId="6" applyFont="1" applyFill="1" applyBorder="1" applyAlignment="1">
      <alignment horizontal="right" vertical="center" wrapText="1"/>
    </xf>
    <xf numFmtId="2" fontId="41" fillId="0" borderId="2" xfId="6" applyNumberFormat="1" applyFont="1" applyFill="1" applyBorder="1" applyAlignment="1">
      <alignment horizontal="right" vertical="center" wrapText="1"/>
    </xf>
    <xf numFmtId="0" fontId="20" fillId="0" borderId="2" xfId="6" applyFont="1" applyFill="1" applyBorder="1" applyAlignment="1">
      <alignment horizontal="right" vertical="center"/>
    </xf>
    <xf numFmtId="171" fontId="41" fillId="0" borderId="2" xfId="6" applyNumberFormat="1" applyFont="1" applyFill="1" applyBorder="1" applyAlignment="1">
      <alignment horizontal="right" vertical="center" wrapText="1"/>
    </xf>
    <xf numFmtId="0" fontId="41" fillId="0" borderId="2" xfId="6" applyFont="1" applyFill="1" applyBorder="1" applyAlignment="1">
      <alignment vertical="center" wrapText="1"/>
    </xf>
    <xf numFmtId="0" fontId="41" fillId="0" borderId="2" xfId="6" applyFont="1" applyFill="1" applyBorder="1" applyAlignment="1">
      <alignment horizontal="center" vertical="center" wrapText="1"/>
    </xf>
    <xf numFmtId="0" fontId="21" fillId="0" borderId="2" xfId="6" applyFont="1" applyFill="1" applyBorder="1" applyAlignment="1">
      <alignment horizontal="justify" vertical="center" wrapText="1"/>
    </xf>
    <xf numFmtId="0" fontId="20" fillId="0" borderId="2" xfId="6" applyFont="1" applyFill="1" applyBorder="1" applyAlignment="1">
      <alignment vertical="center"/>
    </xf>
    <xf numFmtId="2" fontId="20" fillId="0" borderId="2" xfId="6" applyNumberFormat="1" applyFont="1" applyFill="1" applyBorder="1" applyAlignment="1">
      <alignment vertical="center"/>
    </xf>
    <xf numFmtId="0" fontId="20" fillId="0" borderId="2" xfId="6" applyFont="1" applyFill="1" applyBorder="1" applyAlignment="1">
      <alignment horizontal="center" vertical="center"/>
    </xf>
    <xf numFmtId="2" fontId="21" fillId="0" borderId="2" xfId="6" applyNumberFormat="1" applyFont="1" applyFill="1" applyBorder="1" applyAlignment="1">
      <alignment vertical="center"/>
    </xf>
    <xf numFmtId="49" fontId="19" fillId="3" borderId="4" xfId="6" applyNumberFormat="1" applyFont="1" applyFill="1" applyBorder="1" applyAlignment="1">
      <alignment vertical="center"/>
    </xf>
    <xf numFmtId="49" fontId="19" fillId="3" borderId="4" xfId="6" applyNumberFormat="1" applyFont="1" applyFill="1" applyBorder="1" applyAlignment="1">
      <alignment horizontal="right" vertical="center"/>
    </xf>
    <xf numFmtId="49" fontId="19" fillId="3" borderId="4" xfId="6" applyNumberFormat="1" applyFont="1" applyFill="1" applyBorder="1" applyAlignment="1">
      <alignment horizontal="center" vertical="center"/>
    </xf>
    <xf numFmtId="0" fontId="20" fillId="0" borderId="4" xfId="6" applyFont="1" applyFill="1" applyBorder="1" applyAlignment="1">
      <alignment vertical="center"/>
    </xf>
    <xf numFmtId="0" fontId="20" fillId="0" borderId="4" xfId="6" applyFont="1" applyFill="1" applyBorder="1" applyAlignment="1">
      <alignment horizontal="right" vertical="center"/>
    </xf>
    <xf numFmtId="2" fontId="20" fillId="0" borderId="4" xfId="6" applyNumberFormat="1" applyFont="1" applyFill="1" applyBorder="1" applyAlignment="1">
      <alignment vertical="center"/>
    </xf>
    <xf numFmtId="0" fontId="20" fillId="0" borderId="4" xfId="6" applyFont="1" applyFill="1" applyBorder="1" applyAlignment="1">
      <alignment horizontal="center" vertical="center"/>
    </xf>
    <xf numFmtId="0" fontId="20" fillId="0" borderId="4" xfId="6" applyFont="1" applyFill="1" applyBorder="1" applyAlignment="1">
      <alignment horizontal="left" vertical="center"/>
    </xf>
    <xf numFmtId="0" fontId="21" fillId="0" borderId="38" xfId="6" applyFont="1" applyFill="1" applyBorder="1" applyAlignment="1">
      <alignment vertical="center"/>
    </xf>
    <xf numFmtId="0" fontId="21" fillId="0" borderId="38" xfId="6" applyFont="1" applyFill="1" applyBorder="1" applyAlignment="1">
      <alignment horizontal="right" vertical="center"/>
    </xf>
    <xf numFmtId="2" fontId="21" fillId="0" borderId="38" xfId="6" applyNumberFormat="1" applyFont="1" applyFill="1" applyBorder="1" applyAlignment="1">
      <alignment vertical="center"/>
    </xf>
    <xf numFmtId="0" fontId="21" fillId="0" borderId="38" xfId="6" applyFont="1" applyFill="1" applyBorder="1" applyAlignment="1">
      <alignment horizontal="center" vertical="center"/>
    </xf>
    <xf numFmtId="0" fontId="20" fillId="0" borderId="0" xfId="6" applyFont="1" applyFill="1" applyAlignment="1">
      <alignment vertical="center"/>
    </xf>
    <xf numFmtId="0" fontId="20" fillId="0" borderId="0" xfId="6" applyFont="1" applyFill="1" applyAlignment="1">
      <alignment horizontal="right" vertical="center"/>
    </xf>
    <xf numFmtId="2" fontId="20" fillId="0" borderId="0" xfId="6" applyNumberFormat="1" applyFont="1" applyFill="1" applyAlignment="1">
      <alignment vertical="center"/>
    </xf>
    <xf numFmtId="0" fontId="20" fillId="0" borderId="0" xfId="6" applyFont="1" applyFill="1" applyAlignment="1">
      <alignment horizontal="center" vertical="center"/>
    </xf>
    <xf numFmtId="0" fontId="3" fillId="0" borderId="0" xfId="6" applyAlignment="1">
      <alignment horizontal="right" vertical="center"/>
    </xf>
    <xf numFmtId="2" fontId="3" fillId="0" borderId="0" xfId="6" applyNumberFormat="1" applyAlignment="1">
      <alignment vertical="center"/>
    </xf>
    <xf numFmtId="0" fontId="36" fillId="0" borderId="20" xfId="8" applyFont="1" applyFill="1" applyBorder="1" applyAlignment="1">
      <alignment horizontal="left" vertical="center" wrapText="1"/>
    </xf>
    <xf numFmtId="2" fontId="36" fillId="0" borderId="2" xfId="8" applyNumberFormat="1" applyFont="1" applyFill="1" applyBorder="1" applyAlignment="1">
      <alignment horizontal="right" vertical="center"/>
    </xf>
    <xf numFmtId="2" fontId="36" fillId="0" borderId="17" xfId="8" applyNumberFormat="1" applyFont="1" applyFill="1" applyBorder="1" applyAlignment="1">
      <alignment horizontal="right" vertical="center"/>
    </xf>
    <xf numFmtId="43" fontId="36" fillId="5" borderId="20" xfId="19" applyFont="1" applyFill="1" applyBorder="1" applyAlignment="1">
      <alignment horizontal="left" vertical="center" wrapText="1"/>
    </xf>
    <xf numFmtId="0" fontId="37" fillId="6" borderId="39" xfId="8" applyFont="1" applyFill="1" applyBorder="1" applyAlignment="1">
      <alignment horizontal="center" vertical="center"/>
    </xf>
    <xf numFmtId="49" fontId="22" fillId="0" borderId="40" xfId="6" applyNumberFormat="1" applyFont="1" applyFill="1" applyBorder="1" applyAlignment="1" applyProtection="1">
      <alignment horizontal="center" vertical="center"/>
      <protection locked="0"/>
    </xf>
    <xf numFmtId="0" fontId="36" fillId="0" borderId="24" xfId="8" applyFont="1" applyFill="1" applyBorder="1" applyAlignment="1">
      <alignment horizontal="left" vertical="center" wrapText="1"/>
    </xf>
    <xf numFmtId="43" fontId="36" fillId="5" borderId="24" xfId="19" applyFont="1" applyFill="1" applyBorder="1"/>
    <xf numFmtId="0" fontId="36" fillId="0" borderId="17" xfId="8" applyFont="1" applyFill="1" applyBorder="1" applyAlignment="1">
      <alignment horizontal="right" vertical="center"/>
    </xf>
    <xf numFmtId="43" fontId="36" fillId="5" borderId="20" xfId="17" applyNumberFormat="1" applyFont="1" applyFill="1" applyBorder="1" applyAlignment="1">
      <alignment horizontal="center"/>
    </xf>
    <xf numFmtId="43" fontId="36" fillId="5" borderId="20" xfId="17" applyFont="1" applyFill="1" applyBorder="1" applyAlignment="1">
      <alignment horizontal="right"/>
    </xf>
    <xf numFmtId="43" fontId="36" fillId="0" borderId="20" xfId="17" applyFont="1" applyFill="1" applyBorder="1" applyAlignment="1">
      <alignment horizontal="center" vertical="center"/>
    </xf>
    <xf numFmtId="43" fontId="36" fillId="0" borderId="24" xfId="19" applyFont="1" applyFill="1" applyBorder="1" applyAlignment="1">
      <alignment horizontal="center" vertical="center"/>
    </xf>
    <xf numFmtId="43" fontId="36" fillId="5" borderId="41" xfId="19" applyFont="1" applyFill="1" applyBorder="1" applyAlignment="1">
      <alignment vertical="center"/>
    </xf>
    <xf numFmtId="49" fontId="42" fillId="8" borderId="2" xfId="10" applyNumberFormat="1" applyFont="1" applyFill="1" applyBorder="1" applyAlignment="1">
      <alignment horizontal="center" vertical="center"/>
    </xf>
    <xf numFmtId="0" fontId="42" fillId="8" borderId="2" xfId="10" applyFont="1" applyFill="1" applyBorder="1" applyAlignment="1">
      <alignment horizontal="center" vertical="center"/>
    </xf>
    <xf numFmtId="49" fontId="35" fillId="8" borderId="2" xfId="10" applyNumberFormat="1" applyFont="1" applyFill="1" applyBorder="1" applyAlignment="1">
      <alignment vertical="center"/>
    </xf>
    <xf numFmtId="43" fontId="37" fillId="5" borderId="14" xfId="19" applyFont="1" applyFill="1" applyBorder="1" applyAlignment="1">
      <alignment horizontal="left" vertical="center"/>
    </xf>
    <xf numFmtId="2" fontId="36" fillId="0" borderId="20" xfId="8" applyNumberFormat="1" applyFont="1" applyFill="1" applyBorder="1" applyAlignment="1">
      <alignment horizontal="left" vertical="center"/>
    </xf>
    <xf numFmtId="43" fontId="36" fillId="0" borderId="18" xfId="19" applyFont="1" applyFill="1" applyBorder="1" applyAlignment="1">
      <alignment vertical="center"/>
    </xf>
    <xf numFmtId="0" fontId="20" fillId="0" borderId="2" xfId="6" applyFont="1" applyFill="1" applyBorder="1" applyAlignment="1">
      <alignment horizontal="justify" vertical="center" wrapText="1"/>
    </xf>
    <xf numFmtId="0" fontId="20" fillId="0" borderId="2" xfId="6" applyFont="1" applyFill="1" applyBorder="1" applyAlignment="1">
      <alignment horizontal="left" vertical="center" wrapText="1"/>
    </xf>
    <xf numFmtId="0" fontId="37" fillId="7" borderId="39" xfId="0" applyFont="1" applyFill="1" applyBorder="1" applyAlignment="1">
      <alignment horizontal="center" vertical="center" wrapText="1"/>
    </xf>
    <xf numFmtId="0" fontId="43" fillId="0" borderId="29" xfId="0" applyFont="1" applyFill="1" applyBorder="1" applyAlignment="1">
      <alignment horizontal="center" vertical="center"/>
    </xf>
    <xf numFmtId="0" fontId="43" fillId="0" borderId="29" xfId="0" applyFont="1" applyFill="1" applyBorder="1" applyAlignment="1">
      <alignment horizontal="center" vertical="center" wrapText="1"/>
    </xf>
    <xf numFmtId="0" fontId="43" fillId="0" borderId="34" xfId="0" applyFont="1" applyFill="1" applyBorder="1" applyAlignment="1">
      <alignment horizontal="center" vertical="center"/>
    </xf>
    <xf numFmtId="0" fontId="44" fillId="0" borderId="34" xfId="0" applyFont="1" applyFill="1" applyBorder="1" applyAlignment="1">
      <alignment vertical="center" wrapText="1"/>
    </xf>
    <xf numFmtId="0" fontId="43" fillId="0" borderId="34" xfId="0" applyFont="1" applyFill="1" applyBorder="1" applyAlignment="1">
      <alignment horizontal="center" vertical="center" wrapText="1"/>
    </xf>
    <xf numFmtId="0" fontId="43" fillId="0" borderId="42" xfId="0" applyFont="1" applyFill="1" applyBorder="1" applyAlignment="1">
      <alignment horizontal="center" vertical="center" wrapText="1"/>
    </xf>
    <xf numFmtId="0" fontId="43" fillId="0" borderId="43" xfId="0" applyFont="1" applyFill="1" applyBorder="1" applyAlignment="1">
      <alignment horizontal="center" vertical="center" wrapText="1"/>
    </xf>
    <xf numFmtId="0" fontId="45" fillId="0" borderId="2" xfId="0" applyFont="1" applyFill="1" applyBorder="1" applyAlignment="1">
      <alignment horizontal="center" vertical="center"/>
    </xf>
    <xf numFmtId="0" fontId="43" fillId="0" borderId="2" xfId="0" applyFont="1" applyFill="1" applyBorder="1" applyAlignment="1">
      <alignment horizontal="center" vertical="center"/>
    </xf>
    <xf numFmtId="0" fontId="46" fillId="0" borderId="2" xfId="0" applyFont="1" applyFill="1" applyBorder="1" applyAlignment="1">
      <alignment vertical="center" wrapText="1"/>
    </xf>
    <xf numFmtId="0" fontId="46" fillId="0" borderId="2" xfId="0" applyFont="1" applyFill="1" applyBorder="1" applyAlignment="1">
      <alignment horizontal="center" vertical="center" wrapText="1"/>
    </xf>
    <xf numFmtId="43" fontId="45" fillId="0" borderId="2" xfId="0" applyNumberFormat="1" applyFont="1" applyFill="1" applyBorder="1" applyAlignment="1">
      <alignment horizontal="center" vertical="center" wrapText="1"/>
    </xf>
    <xf numFmtId="0" fontId="45" fillId="0" borderId="2" xfId="0" applyFont="1" applyFill="1" applyBorder="1" applyAlignment="1">
      <alignment horizontal="right" vertical="center" wrapText="1"/>
    </xf>
    <xf numFmtId="2" fontId="46" fillId="0" borderId="3" xfId="0" applyNumberFormat="1" applyFont="1" applyFill="1" applyBorder="1" applyAlignment="1">
      <alignment horizontal="right" vertical="center" wrapText="1"/>
    </xf>
    <xf numFmtId="0" fontId="45" fillId="0" borderId="2" xfId="0" applyFont="1" applyFill="1" applyBorder="1" applyAlignment="1">
      <alignment horizontal="center" vertical="center" wrapText="1"/>
    </xf>
    <xf numFmtId="43" fontId="45" fillId="0" borderId="2" xfId="17" applyFont="1" applyFill="1" applyBorder="1" applyAlignment="1">
      <alignment horizontal="center" vertical="center" wrapText="1"/>
    </xf>
    <xf numFmtId="2" fontId="45" fillId="0" borderId="2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6" fillId="0" borderId="2" xfId="0" applyFont="1" applyBorder="1" applyAlignment="1">
      <alignment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43" fontId="45" fillId="9" borderId="2" xfId="17" applyFont="1" applyFill="1" applyBorder="1" applyAlignment="1">
      <alignment horizontal="center" vertical="center" wrapText="1"/>
    </xf>
    <xf numFmtId="43" fontId="43" fillId="9" borderId="2" xfId="17" applyFont="1" applyFill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46" fillId="0" borderId="2" xfId="0" applyFont="1" applyBorder="1" applyAlignment="1">
      <alignment horizontal="center" vertical="center"/>
    </xf>
    <xf numFmtId="0" fontId="14" fillId="0" borderId="2" xfId="0" applyFont="1" applyFill="1" applyBorder="1" applyAlignment="1">
      <alignment vertical="center" wrapText="1"/>
    </xf>
    <xf numFmtId="43" fontId="45" fillId="0" borderId="2" xfId="17" applyFont="1" applyFill="1" applyBorder="1" applyAlignment="1">
      <alignment vertical="center"/>
    </xf>
    <xf numFmtId="43" fontId="45" fillId="0" borderId="3" xfId="17" applyFont="1" applyFill="1" applyBorder="1" applyAlignment="1">
      <alignment vertical="center"/>
    </xf>
    <xf numFmtId="43" fontId="45" fillId="0" borderId="2" xfId="17" applyFont="1" applyFill="1" applyBorder="1" applyAlignment="1">
      <alignment horizontal="right" vertical="center"/>
    </xf>
    <xf numFmtId="43" fontId="45" fillId="0" borderId="2" xfId="17" applyFont="1" applyFill="1" applyBorder="1" applyAlignment="1">
      <alignment horizontal="right" vertical="center" wrapText="1"/>
    </xf>
    <xf numFmtId="2" fontId="46" fillId="0" borderId="3" xfId="0" applyNumberFormat="1" applyFont="1" applyFill="1" applyBorder="1" applyAlignment="1">
      <alignment vertical="center" wrapText="1"/>
    </xf>
    <xf numFmtId="0" fontId="44" fillId="0" borderId="2" xfId="0" applyFont="1" applyFill="1" applyBorder="1" applyAlignment="1">
      <alignment vertical="center" wrapText="1"/>
    </xf>
    <xf numFmtId="43" fontId="44" fillId="0" borderId="2" xfId="17" applyFont="1" applyFill="1" applyBorder="1" applyAlignment="1">
      <alignment vertical="center" wrapText="1"/>
    </xf>
    <xf numFmtId="43" fontId="44" fillId="0" borderId="3" xfId="17" applyFont="1" applyFill="1" applyBorder="1" applyAlignment="1">
      <alignment vertical="center" wrapText="1"/>
    </xf>
    <xf numFmtId="43" fontId="45" fillId="0" borderId="3" xfId="17" applyFont="1" applyFill="1" applyBorder="1" applyAlignment="1">
      <alignment horizontal="center" vertical="center" wrapText="1"/>
    </xf>
    <xf numFmtId="0" fontId="26" fillId="0" borderId="2" xfId="0" applyFont="1" applyBorder="1" applyAlignment="1">
      <alignment wrapText="1"/>
    </xf>
    <xf numFmtId="0" fontId="46" fillId="0" borderId="2" xfId="0" applyFont="1" applyBorder="1"/>
    <xf numFmtId="2" fontId="45" fillId="0" borderId="2" xfId="0" applyNumberFormat="1" applyFont="1" applyFill="1" applyBorder="1" applyAlignment="1">
      <alignment horizontal="center" vertical="center" wrapText="1"/>
    </xf>
    <xf numFmtId="0" fontId="46" fillId="0" borderId="2" xfId="0" applyFont="1" applyBorder="1" applyAlignment="1">
      <alignment horizontal="left" vertical="center" wrapText="1"/>
    </xf>
    <xf numFmtId="0" fontId="14" fillId="0" borderId="2" xfId="0" applyFont="1" applyFill="1" applyBorder="1" applyAlignment="1">
      <alignment horizontal="right" vertical="center" wrapText="1"/>
    </xf>
    <xf numFmtId="0" fontId="14" fillId="0" borderId="2" xfId="0" applyFont="1" applyBorder="1" applyAlignment="1">
      <alignment wrapText="1"/>
    </xf>
    <xf numFmtId="43" fontId="45" fillId="9" borderId="2" xfId="17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47" fillId="0" borderId="2" xfId="0" applyFont="1" applyFill="1" applyBorder="1" applyAlignment="1">
      <alignment horizontal="right" vertical="center" wrapText="1"/>
    </xf>
    <xf numFmtId="0" fontId="43" fillId="0" borderId="2" xfId="0" applyFont="1" applyFill="1" applyBorder="1" applyAlignment="1">
      <alignment horizontal="center" vertical="center" wrapText="1"/>
    </xf>
    <xf numFmtId="0" fontId="46" fillId="0" borderId="20" xfId="0" applyFont="1" applyBorder="1" applyAlignment="1">
      <alignment wrapText="1"/>
    </xf>
    <xf numFmtId="0" fontId="3" fillId="0" borderId="20" xfId="0" applyFont="1" applyBorder="1" applyAlignment="1">
      <alignment horizontal="center" vertical="center"/>
    </xf>
    <xf numFmtId="0" fontId="45" fillId="0" borderId="2" xfId="0" applyFont="1" applyBorder="1" applyAlignment="1">
      <alignment horizontal="center" vertical="center"/>
    </xf>
    <xf numFmtId="0" fontId="45" fillId="0" borderId="2" xfId="0" applyFont="1" applyBorder="1" applyAlignment="1">
      <alignment wrapText="1"/>
    </xf>
    <xf numFmtId="0" fontId="43" fillId="0" borderId="2" xfId="0" applyFont="1" applyFill="1" applyBorder="1" applyAlignment="1">
      <alignment horizontal="center" wrapText="1"/>
    </xf>
    <xf numFmtId="0" fontId="43" fillId="0" borderId="2" xfId="0" applyFont="1" applyFill="1" applyBorder="1" applyAlignment="1">
      <alignment horizontal="left" vertical="center" wrapText="1"/>
    </xf>
    <xf numFmtId="0" fontId="44" fillId="0" borderId="2" xfId="0" applyFont="1" applyBorder="1" applyAlignment="1">
      <alignment vertical="center" wrapText="1"/>
    </xf>
    <xf numFmtId="0" fontId="43" fillId="0" borderId="2" xfId="0" applyFont="1" applyBorder="1" applyAlignment="1">
      <alignment horizontal="left" vertical="center" wrapText="1"/>
    </xf>
    <xf numFmtId="0" fontId="43" fillId="0" borderId="20" xfId="0" applyFont="1" applyFill="1" applyBorder="1" applyAlignment="1">
      <alignment horizontal="right" vertical="center" wrapText="1"/>
    </xf>
    <xf numFmtId="0" fontId="43" fillId="9" borderId="29" xfId="0" applyFont="1" applyFill="1" applyBorder="1" applyAlignment="1">
      <alignment horizontal="right" vertical="center" wrapText="1"/>
    </xf>
    <xf numFmtId="0" fontId="43" fillId="0" borderId="4" xfId="0" applyFont="1" applyFill="1" applyBorder="1" applyAlignment="1">
      <alignment horizontal="right" vertical="center" wrapText="1"/>
    </xf>
    <xf numFmtId="0" fontId="43" fillId="0" borderId="2" xfId="0" applyFont="1" applyFill="1" applyBorder="1" applyAlignment="1">
      <alignment horizontal="right" vertical="center" wrapText="1"/>
    </xf>
    <xf numFmtId="0" fontId="43" fillId="0" borderId="12" xfId="0" applyFont="1" applyFill="1" applyBorder="1" applyAlignment="1">
      <alignment horizontal="center" vertical="center"/>
    </xf>
    <xf numFmtId="0" fontId="43" fillId="10" borderId="33" xfId="0" applyFont="1" applyFill="1" applyBorder="1" applyAlignment="1">
      <alignment horizontal="center" vertical="center" wrapText="1"/>
    </xf>
    <xf numFmtId="0" fontId="43" fillId="9" borderId="34" xfId="0" applyFont="1" applyFill="1" applyBorder="1" applyAlignment="1">
      <alignment horizontal="center" vertical="center" wrapText="1"/>
    </xf>
    <xf numFmtId="43" fontId="3" fillId="9" borderId="2" xfId="17" applyFont="1" applyFill="1" applyBorder="1" applyAlignment="1">
      <alignment horizontal="center" vertical="center" wrapText="1"/>
    </xf>
    <xf numFmtId="0" fontId="45" fillId="9" borderId="2" xfId="0" applyFont="1" applyFill="1" applyBorder="1" applyAlignment="1">
      <alignment vertical="center"/>
    </xf>
    <xf numFmtId="43" fontId="45" fillId="9" borderId="2" xfId="17" applyFont="1" applyFill="1" applyBorder="1" applyAlignment="1">
      <alignment vertical="center"/>
    </xf>
    <xf numFmtId="0" fontId="45" fillId="0" borderId="0" xfId="0" applyFont="1" applyBorder="1" applyAlignment="1">
      <alignment horizontal="center" vertical="center"/>
    </xf>
    <xf numFmtId="43" fontId="44" fillId="9" borderId="2" xfId="17" applyFont="1" applyFill="1" applyBorder="1" applyAlignment="1">
      <alignment vertical="center" wrapText="1"/>
    </xf>
    <xf numFmtId="0" fontId="45" fillId="0" borderId="0" xfId="0" applyFont="1" applyBorder="1" applyAlignment="1">
      <alignment wrapText="1"/>
    </xf>
    <xf numFmtId="0" fontId="14" fillId="0" borderId="2" xfId="0" applyFont="1" applyFill="1" applyBorder="1" applyAlignment="1">
      <alignment horizontal="center" vertical="center"/>
    </xf>
    <xf numFmtId="43" fontId="43" fillId="9" borderId="2" xfId="17" applyFont="1" applyFill="1" applyBorder="1" applyAlignment="1">
      <alignment horizontal="center" vertical="center" wrapText="1"/>
    </xf>
    <xf numFmtId="43" fontId="43" fillId="9" borderId="33" xfId="17" applyFont="1" applyFill="1" applyBorder="1" applyAlignment="1">
      <alignment horizontal="center" vertical="center"/>
    </xf>
    <xf numFmtId="0" fontId="36" fillId="0" borderId="20" xfId="8" applyFont="1" applyFill="1" applyBorder="1" applyAlignment="1">
      <alignment horizontal="left" vertical="center"/>
    </xf>
    <xf numFmtId="0" fontId="36" fillId="0" borderId="19" xfId="8" applyFont="1" applyFill="1" applyBorder="1" applyAlignment="1">
      <alignment horizontal="center" vertical="center"/>
    </xf>
    <xf numFmtId="0" fontId="36" fillId="0" borderId="16" xfId="8" applyFont="1" applyFill="1" applyBorder="1" applyAlignment="1">
      <alignment horizontal="center" vertical="center"/>
    </xf>
    <xf numFmtId="43" fontId="36" fillId="0" borderId="35" xfId="19" applyFont="1" applyFill="1" applyBorder="1" applyAlignment="1">
      <alignment horizontal="center" vertical="center"/>
    </xf>
    <xf numFmtId="43" fontId="37" fillId="5" borderId="13" xfId="19" applyFont="1" applyFill="1" applyBorder="1" applyAlignment="1">
      <alignment horizontal="center" vertical="center"/>
    </xf>
    <xf numFmtId="0" fontId="18" fillId="0" borderId="44" xfId="7" applyFont="1" applyFill="1" applyBorder="1" applyAlignment="1">
      <alignment wrapText="1"/>
    </xf>
    <xf numFmtId="43" fontId="37" fillId="5" borderId="23" xfId="19" applyFont="1" applyFill="1" applyBorder="1" applyAlignment="1">
      <alignment horizontal="left" vertical="center"/>
    </xf>
    <xf numFmtId="0" fontId="37" fillId="5" borderId="21" xfId="8" applyFont="1" applyFill="1" applyBorder="1" applyAlignment="1">
      <alignment horizontal="center" vertical="center"/>
    </xf>
    <xf numFmtId="43" fontId="37" fillId="5" borderId="22" xfId="19" applyFont="1" applyFill="1" applyBorder="1" applyAlignment="1">
      <alignment horizontal="left" vertical="center"/>
    </xf>
    <xf numFmtId="0" fontId="37" fillId="5" borderId="25" xfId="8" applyFont="1" applyFill="1" applyBorder="1" applyAlignment="1">
      <alignment horizontal="center" vertical="center"/>
    </xf>
    <xf numFmtId="0" fontId="36" fillId="0" borderId="23" xfId="8" applyFont="1" applyFill="1" applyBorder="1" applyAlignment="1">
      <alignment vertical="center"/>
    </xf>
    <xf numFmtId="0" fontId="36" fillId="0" borderId="25" xfId="8" applyFont="1" applyFill="1" applyBorder="1" applyAlignment="1">
      <alignment horizontal="center" vertical="center" wrapText="1"/>
    </xf>
    <xf numFmtId="43" fontId="37" fillId="5" borderId="18" xfId="19" applyFont="1" applyFill="1" applyBorder="1" applyAlignment="1">
      <alignment horizontal="left" vertical="center"/>
    </xf>
    <xf numFmtId="0" fontId="36" fillId="0" borderId="25" xfId="8" applyFont="1" applyFill="1" applyBorder="1" applyAlignment="1">
      <alignment horizontal="left" vertical="center"/>
    </xf>
    <xf numFmtId="0" fontId="37" fillId="0" borderId="25" xfId="8" applyFont="1" applyFill="1" applyBorder="1" applyAlignment="1">
      <alignment horizontal="center" vertical="center" wrapText="1"/>
    </xf>
    <xf numFmtId="2" fontId="36" fillId="0" borderId="23" xfId="8" applyNumberFormat="1" applyFont="1" applyFill="1" applyBorder="1" applyAlignment="1">
      <alignment horizontal="right" vertical="center"/>
    </xf>
    <xf numFmtId="43" fontId="36" fillId="5" borderId="23" xfId="19" applyFont="1" applyFill="1" applyBorder="1" applyAlignment="1">
      <alignment horizontal="center"/>
    </xf>
    <xf numFmtId="0" fontId="37" fillId="5" borderId="19" xfId="8" applyFont="1" applyFill="1" applyBorder="1" applyAlignment="1">
      <alignment horizontal="center" vertical="center"/>
    </xf>
    <xf numFmtId="0" fontId="40" fillId="5" borderId="16" xfId="8" applyFont="1" applyFill="1" applyBorder="1" applyAlignment="1">
      <alignment horizontal="center" vertical="center"/>
    </xf>
    <xf numFmtId="49" fontId="36" fillId="5" borderId="18" xfId="19" applyNumberFormat="1" applyFont="1" applyFill="1" applyBorder="1" applyAlignment="1">
      <alignment horizontal="right" vertical="center"/>
    </xf>
    <xf numFmtId="49" fontId="36" fillId="5" borderId="23" xfId="19" applyNumberFormat="1" applyFont="1" applyFill="1" applyBorder="1" applyAlignment="1">
      <alignment horizontal="right" vertical="center"/>
    </xf>
    <xf numFmtId="0" fontId="27" fillId="0" borderId="45" xfId="6" applyFont="1" applyFill="1" applyBorder="1" applyAlignment="1">
      <alignment horizontal="center" vertical="center"/>
    </xf>
    <xf numFmtId="0" fontId="20" fillId="0" borderId="46" xfId="6" applyFont="1" applyFill="1" applyBorder="1" applyAlignment="1">
      <alignment vertical="center"/>
    </xf>
    <xf numFmtId="2" fontId="20" fillId="0" borderId="47" xfId="6" applyNumberFormat="1" applyFont="1" applyFill="1" applyBorder="1" applyAlignment="1">
      <alignment vertical="center"/>
    </xf>
    <xf numFmtId="49" fontId="19" fillId="3" borderId="3" xfId="6" applyNumberFormat="1" applyFont="1" applyFill="1" applyBorder="1" applyAlignment="1">
      <alignment vertical="center"/>
    </xf>
    <xf numFmtId="2" fontId="19" fillId="3" borderId="5" xfId="6" applyNumberFormat="1" applyFont="1" applyFill="1" applyBorder="1" applyAlignment="1">
      <alignment vertical="center"/>
    </xf>
    <xf numFmtId="0" fontId="20" fillId="0" borderId="20" xfId="6" applyFont="1" applyFill="1" applyBorder="1" applyAlignment="1">
      <alignment horizontal="justify" vertical="center" wrapText="1"/>
    </xf>
    <xf numFmtId="2" fontId="20" fillId="0" borderId="35" xfId="6" applyNumberFormat="1" applyFont="1" applyFill="1" applyBorder="1" applyAlignment="1">
      <alignment horizontal="center" vertical="center"/>
    </xf>
    <xf numFmtId="0" fontId="20" fillId="0" borderId="20" xfId="6" applyFont="1" applyFill="1" applyBorder="1" applyAlignment="1">
      <alignment horizontal="left" vertical="center" wrapText="1"/>
    </xf>
    <xf numFmtId="0" fontId="20" fillId="0" borderId="3" xfId="6" applyFont="1" applyFill="1" applyBorder="1" applyAlignment="1">
      <alignment vertical="center"/>
    </xf>
    <xf numFmtId="2" fontId="20" fillId="0" borderId="5" xfId="6" applyNumberFormat="1" applyFont="1" applyFill="1" applyBorder="1" applyAlignment="1">
      <alignment vertical="center"/>
    </xf>
    <xf numFmtId="0" fontId="20" fillId="0" borderId="3" xfId="6" applyFont="1" applyFill="1" applyBorder="1" applyAlignment="1">
      <alignment horizontal="left" vertical="center"/>
    </xf>
    <xf numFmtId="0" fontId="21" fillId="0" borderId="48" xfId="6" applyFont="1" applyFill="1" applyBorder="1" applyAlignment="1">
      <alignment vertical="center"/>
    </xf>
    <xf numFmtId="2" fontId="21" fillId="0" borderId="49" xfId="6" applyNumberFormat="1" applyFont="1" applyFill="1" applyBorder="1" applyAlignment="1">
      <alignment vertical="center"/>
    </xf>
    <xf numFmtId="0" fontId="20" fillId="0" borderId="50" xfId="6" applyFont="1" applyFill="1" applyBorder="1" applyAlignment="1">
      <alignment vertical="center"/>
    </xf>
    <xf numFmtId="0" fontId="20" fillId="0" borderId="50" xfId="6" applyFont="1" applyFill="1" applyBorder="1" applyAlignment="1">
      <alignment horizontal="right" vertical="center"/>
    </xf>
    <xf numFmtId="2" fontId="20" fillId="0" borderId="50" xfId="6" applyNumberFormat="1" applyFont="1" applyFill="1" applyBorder="1" applyAlignment="1">
      <alignment vertical="center"/>
    </xf>
    <xf numFmtId="0" fontId="20" fillId="0" borderId="50" xfId="6" applyFont="1" applyFill="1" applyBorder="1" applyAlignment="1">
      <alignment horizontal="center" vertical="center"/>
    </xf>
    <xf numFmtId="2" fontId="20" fillId="0" borderId="26" xfId="6" applyNumberFormat="1" applyFont="1" applyFill="1" applyBorder="1" applyAlignment="1">
      <alignment vertical="center"/>
    </xf>
    <xf numFmtId="0" fontId="19" fillId="0" borderId="46" xfId="6" applyFont="1" applyFill="1" applyBorder="1" applyAlignment="1">
      <alignment vertical="center"/>
    </xf>
    <xf numFmtId="0" fontId="20" fillId="0" borderId="28" xfId="6" applyFont="1" applyFill="1" applyBorder="1" applyAlignment="1">
      <alignment vertical="center"/>
    </xf>
    <xf numFmtId="0" fontId="36" fillId="0" borderId="14" xfId="8" applyFont="1" applyFill="1" applyBorder="1" applyAlignment="1">
      <alignment horizontal="left" vertical="center"/>
    </xf>
    <xf numFmtId="43" fontId="36" fillId="0" borderId="2" xfId="19" applyFont="1" applyFill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48" fillId="0" borderId="2" xfId="0" applyFont="1" applyFill="1" applyBorder="1" applyAlignment="1">
      <alignment horizontal="center" vertical="center"/>
    </xf>
    <xf numFmtId="0" fontId="28" fillId="0" borderId="2" xfId="0" applyFont="1" applyBorder="1" applyAlignment="1">
      <alignment wrapText="1"/>
    </xf>
    <xf numFmtId="0" fontId="3" fillId="0" borderId="2" xfId="0" applyFont="1" applyFill="1" applyBorder="1" applyAlignment="1">
      <alignment horizontal="right" vertical="center" wrapText="1"/>
    </xf>
    <xf numFmtId="2" fontId="3" fillId="0" borderId="2" xfId="0" applyNumberFormat="1" applyFont="1" applyFill="1" applyBorder="1" applyAlignment="1">
      <alignment horizontal="right" vertical="center" wrapText="1"/>
    </xf>
    <xf numFmtId="43" fontId="36" fillId="5" borderId="51" xfId="19" applyFont="1" applyFill="1" applyBorder="1" applyAlignment="1">
      <alignment vertical="center"/>
    </xf>
    <xf numFmtId="43" fontId="40" fillId="5" borderId="27" xfId="19" applyFont="1" applyFill="1" applyBorder="1" applyAlignment="1">
      <alignment vertical="center"/>
    </xf>
    <xf numFmtId="43" fontId="3" fillId="0" borderId="2" xfId="17" applyFont="1" applyFill="1" applyBorder="1" applyAlignment="1">
      <alignment vertical="center" wrapText="1"/>
    </xf>
    <xf numFmtId="0" fontId="37" fillId="5" borderId="2" xfId="8" applyFont="1" applyFill="1" applyBorder="1" applyAlignment="1">
      <alignment horizontal="center" vertical="center"/>
    </xf>
    <xf numFmtId="164" fontId="36" fillId="0" borderId="23" xfId="24" applyNumberFormat="1" applyFont="1" applyFill="1" applyBorder="1"/>
    <xf numFmtId="43" fontId="36" fillId="5" borderId="34" xfId="19" applyFont="1" applyFill="1" applyBorder="1" applyAlignment="1">
      <alignment horizontal="center" vertical="center"/>
    </xf>
    <xf numFmtId="164" fontId="36" fillId="0" borderId="2" xfId="24" applyNumberFormat="1" applyFont="1" applyFill="1" applyBorder="1" applyAlignment="1">
      <alignment vertical="center"/>
    </xf>
    <xf numFmtId="164" fontId="36" fillId="0" borderId="20" xfId="24" applyNumberFormat="1" applyFont="1" applyFill="1" applyBorder="1"/>
    <xf numFmtId="164" fontId="36" fillId="0" borderId="20" xfId="24" applyNumberFormat="1" applyFont="1" applyFill="1" applyBorder="1" applyAlignment="1">
      <alignment horizontal="center"/>
    </xf>
    <xf numFmtId="0" fontId="36" fillId="0" borderId="24" xfId="8" applyFont="1" applyFill="1" applyBorder="1" applyAlignment="1">
      <alignment horizontal="left" vertical="center"/>
    </xf>
    <xf numFmtId="164" fontId="36" fillId="0" borderId="24" xfId="24" applyNumberFormat="1" applyFont="1" applyFill="1" applyBorder="1"/>
    <xf numFmtId="164" fontId="36" fillId="0" borderId="24" xfId="24" applyNumberFormat="1" applyFont="1" applyFill="1" applyBorder="1" applyAlignment="1">
      <alignment horizontal="center"/>
    </xf>
    <xf numFmtId="43" fontId="36" fillId="5" borderId="14" xfId="19" applyFont="1" applyFill="1" applyBorder="1" applyAlignment="1">
      <alignment horizontal="center" vertical="center" wrapText="1"/>
    </xf>
    <xf numFmtId="0" fontId="37" fillId="7" borderId="13" xfId="8" applyFont="1" applyFill="1" applyBorder="1" applyAlignment="1">
      <alignment horizontal="center" vertical="center"/>
    </xf>
    <xf numFmtId="43" fontId="37" fillId="7" borderId="13" xfId="19" applyFont="1" applyFill="1" applyBorder="1" applyAlignment="1">
      <alignment horizontal="center" vertical="center"/>
    </xf>
    <xf numFmtId="0" fontId="36" fillId="0" borderId="2" xfId="8" applyFont="1" applyFill="1" applyBorder="1" applyAlignment="1">
      <alignment horizontal="left" vertical="center" wrapText="1"/>
    </xf>
    <xf numFmtId="0" fontId="36" fillId="0" borderId="2" xfId="8" applyFont="1" applyFill="1" applyBorder="1" applyAlignment="1">
      <alignment horizontal="center" vertical="center" wrapText="1"/>
    </xf>
    <xf numFmtId="0" fontId="36" fillId="0" borderId="20" xfId="8" applyFont="1" applyFill="1" applyBorder="1" applyAlignment="1">
      <alignment horizontal="center" vertical="center" wrapText="1"/>
    </xf>
    <xf numFmtId="43" fontId="36" fillId="0" borderId="41" xfId="19" applyFont="1" applyFill="1" applyBorder="1" applyAlignment="1">
      <alignment horizontal="center" vertical="center"/>
    </xf>
    <xf numFmtId="43" fontId="36" fillId="5" borderId="14" xfId="19" applyFont="1" applyFill="1" applyBorder="1"/>
    <xf numFmtId="43" fontId="36" fillId="5" borderId="24" xfId="19" applyFont="1" applyFill="1" applyBorder="1" applyAlignment="1">
      <alignment horizontal="center" vertical="center"/>
    </xf>
    <xf numFmtId="0" fontId="36" fillId="0" borderId="26" xfId="8" applyFont="1" applyFill="1" applyBorder="1" applyAlignment="1">
      <alignment horizontal="left" vertical="center"/>
    </xf>
    <xf numFmtId="43" fontId="36" fillId="5" borderId="14" xfId="19" applyFont="1" applyFill="1" applyBorder="1" applyAlignment="1">
      <alignment horizontal="center"/>
    </xf>
    <xf numFmtId="43" fontId="36" fillId="5" borderId="24" xfId="19" applyFont="1" applyFill="1" applyBorder="1" applyAlignment="1">
      <alignment horizontal="center"/>
    </xf>
    <xf numFmtId="43" fontId="36" fillId="0" borderId="14" xfId="19" applyFont="1" applyFill="1" applyBorder="1" applyAlignment="1">
      <alignment horizontal="center" vertical="center" wrapText="1"/>
    </xf>
    <xf numFmtId="43" fontId="36" fillId="0" borderId="13" xfId="19" applyFont="1" applyFill="1" applyBorder="1" applyAlignment="1">
      <alignment horizontal="center" vertical="center"/>
    </xf>
    <xf numFmtId="43" fontId="36" fillId="5" borderId="13" xfId="19" applyFont="1" applyFill="1" applyBorder="1" applyAlignment="1">
      <alignment horizontal="center" vertical="center"/>
    </xf>
    <xf numFmtId="43" fontId="36" fillId="5" borderId="12" xfId="19" applyFont="1" applyFill="1" applyBorder="1" applyAlignment="1">
      <alignment horizontal="center"/>
    </xf>
    <xf numFmtId="2" fontId="3" fillId="0" borderId="3" xfId="0" applyNumberFormat="1" applyFont="1" applyFill="1" applyBorder="1" applyAlignment="1">
      <alignment horizontal="right" vertical="center" wrapText="1"/>
    </xf>
    <xf numFmtId="43" fontId="37" fillId="5" borderId="27" xfId="19" applyFont="1" applyFill="1" applyBorder="1" applyAlignment="1">
      <alignment horizontal="center" vertical="center"/>
    </xf>
    <xf numFmtId="43" fontId="36" fillId="5" borderId="27" xfId="19" applyFont="1" applyFill="1" applyBorder="1" applyAlignment="1">
      <alignment vertical="center"/>
    </xf>
    <xf numFmtId="43" fontId="37" fillId="5" borderId="27" xfId="19" applyFont="1" applyFill="1" applyBorder="1" applyAlignment="1">
      <alignment vertical="center"/>
    </xf>
    <xf numFmtId="43" fontId="36" fillId="5" borderId="17" xfId="19" applyFont="1" applyFill="1" applyBorder="1"/>
    <xf numFmtId="43" fontId="36" fillId="5" borderId="34" xfId="19" applyFont="1" applyFill="1" applyBorder="1"/>
    <xf numFmtId="43" fontId="39" fillId="5" borderId="14" xfId="19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left" vertical="center" wrapText="1"/>
    </xf>
    <xf numFmtId="0" fontId="40" fillId="5" borderId="19" xfId="8" applyFont="1" applyFill="1" applyBorder="1" applyAlignment="1">
      <alignment horizontal="center" vertical="center"/>
    </xf>
    <xf numFmtId="43" fontId="40" fillId="5" borderId="17" xfId="19" applyFont="1" applyFill="1" applyBorder="1" applyAlignment="1">
      <alignment vertical="center"/>
    </xf>
    <xf numFmtId="43" fontId="40" fillId="5" borderId="15" xfId="19" applyFont="1" applyFill="1" applyBorder="1" applyAlignment="1">
      <alignment vertical="center"/>
    </xf>
    <xf numFmtId="0" fontId="40" fillId="5" borderId="2" xfId="8" applyFont="1" applyFill="1" applyBorder="1" applyAlignment="1">
      <alignment horizontal="center" vertical="center"/>
    </xf>
    <xf numFmtId="43" fontId="40" fillId="5" borderId="2" xfId="19" applyFont="1" applyFill="1" applyBorder="1" applyAlignment="1">
      <alignment vertical="center"/>
    </xf>
    <xf numFmtId="0" fontId="40" fillId="5" borderId="17" xfId="8" applyFont="1" applyFill="1" applyBorder="1" applyAlignment="1">
      <alignment horizontal="center" vertical="center"/>
    </xf>
    <xf numFmtId="43" fontId="36" fillId="5" borderId="17" xfId="19" applyFont="1" applyFill="1" applyBorder="1" applyAlignment="1">
      <alignment vertical="center"/>
    </xf>
    <xf numFmtId="43" fontId="36" fillId="0" borderId="2" xfId="19" applyFont="1" applyFill="1" applyBorder="1" applyAlignment="1">
      <alignment horizontal="center" vertical="center"/>
    </xf>
    <xf numFmtId="43" fontId="36" fillId="0" borderId="5" xfId="19" applyFont="1" applyFill="1" applyBorder="1" applyAlignment="1">
      <alignment horizontal="center" vertical="center"/>
    </xf>
    <xf numFmtId="0" fontId="49" fillId="0" borderId="20" xfId="0" applyFont="1" applyFill="1" applyBorder="1" applyAlignment="1">
      <alignment horizontal="center" vertical="center"/>
    </xf>
    <xf numFmtId="0" fontId="49" fillId="0" borderId="2" xfId="0" applyFont="1" applyBorder="1" applyAlignment="1">
      <alignment horizontal="center" vertical="center"/>
    </xf>
    <xf numFmtId="0" fontId="49" fillId="5" borderId="2" xfId="0" applyFont="1" applyFill="1" applyBorder="1" applyAlignment="1">
      <alignment wrapText="1"/>
    </xf>
    <xf numFmtId="0" fontId="50" fillId="0" borderId="2" xfId="0" applyFont="1" applyFill="1" applyBorder="1" applyAlignment="1">
      <alignment horizontal="center" vertical="center" wrapText="1"/>
    </xf>
    <xf numFmtId="2" fontId="49" fillId="0" borderId="14" xfId="0" applyNumberFormat="1" applyFont="1" applyFill="1" applyBorder="1" applyAlignment="1">
      <alignment horizontal="right" vertical="center" wrapText="1"/>
    </xf>
    <xf numFmtId="43" fontId="49" fillId="0" borderId="2" xfId="17" applyFont="1" applyFill="1" applyBorder="1" applyAlignment="1">
      <alignment horizontal="right" vertical="center" wrapText="1"/>
    </xf>
    <xf numFmtId="2" fontId="49" fillId="0" borderId="2" xfId="0" applyNumberFormat="1" applyFont="1" applyFill="1" applyBorder="1" applyAlignment="1">
      <alignment horizontal="right" vertical="center" wrapText="1"/>
    </xf>
    <xf numFmtId="2" fontId="46" fillId="0" borderId="2" xfId="0" applyNumberFormat="1" applyFont="1" applyFill="1" applyBorder="1" applyAlignment="1">
      <alignment horizontal="right" vertical="center" wrapText="1"/>
    </xf>
    <xf numFmtId="43" fontId="36" fillId="0" borderId="2" xfId="19" applyFont="1" applyFill="1" applyBorder="1" applyAlignment="1">
      <alignment vertical="center" wrapText="1"/>
    </xf>
    <xf numFmtId="2" fontId="36" fillId="0" borderId="2" xfId="8" applyNumberFormat="1" applyFont="1" applyFill="1" applyBorder="1" applyAlignment="1">
      <alignment horizontal="left" vertical="center"/>
    </xf>
    <xf numFmtId="0" fontId="37" fillId="0" borderId="19" xfId="8" applyFont="1" applyFill="1" applyBorder="1" applyAlignment="1">
      <alignment horizontal="center" vertical="center" wrapText="1"/>
    </xf>
    <xf numFmtId="43" fontId="36" fillId="0" borderId="2" xfId="19" applyFont="1" applyFill="1" applyBorder="1" applyAlignment="1">
      <alignment horizontal="center" vertical="center"/>
    </xf>
    <xf numFmtId="0" fontId="36" fillId="0" borderId="5" xfId="8" applyFont="1" applyFill="1" applyBorder="1" applyAlignment="1">
      <alignment horizontal="left" vertical="center"/>
    </xf>
    <xf numFmtId="0" fontId="37" fillId="0" borderId="11" xfId="8" applyFont="1" applyFill="1" applyBorder="1" applyAlignment="1">
      <alignment horizontal="center" vertical="center" wrapText="1"/>
    </xf>
    <xf numFmtId="43" fontId="36" fillId="0" borderId="34" xfId="19" applyFont="1" applyFill="1" applyBorder="1" applyAlignment="1">
      <alignment horizontal="center" vertical="center" wrapText="1"/>
    </xf>
    <xf numFmtId="43" fontId="36" fillId="0" borderId="34" xfId="19" applyFont="1" applyFill="1" applyBorder="1" applyAlignment="1">
      <alignment vertical="center"/>
    </xf>
    <xf numFmtId="43" fontId="36" fillId="0" borderId="24" xfId="19" applyFont="1" applyFill="1" applyBorder="1" applyAlignment="1">
      <alignment horizontal="center" vertical="center" wrapText="1"/>
    </xf>
    <xf numFmtId="0" fontId="36" fillId="0" borderId="13" xfId="8" applyFont="1" applyFill="1" applyBorder="1" applyAlignment="1">
      <alignment horizontal="left" vertical="center"/>
    </xf>
    <xf numFmtId="43" fontId="36" fillId="0" borderId="13" xfId="19" applyFont="1" applyFill="1" applyBorder="1" applyAlignment="1">
      <alignment horizontal="center" vertical="center" wrapText="1"/>
    </xf>
    <xf numFmtId="43" fontId="36" fillId="0" borderId="13" xfId="19" applyFont="1" applyFill="1" applyBorder="1" applyAlignment="1">
      <alignment vertical="center"/>
    </xf>
    <xf numFmtId="43" fontId="36" fillId="5" borderId="13" xfId="19" applyFont="1" applyFill="1" applyBorder="1"/>
    <xf numFmtId="0" fontId="37" fillId="0" borderId="13" xfId="8" applyFont="1" applyFill="1" applyBorder="1" applyAlignment="1">
      <alignment horizontal="center" vertical="center" wrapText="1"/>
    </xf>
    <xf numFmtId="43" fontId="36" fillId="0" borderId="5" xfId="19" applyFont="1" applyFill="1" applyBorder="1" applyAlignment="1">
      <alignment horizontal="center" vertical="center"/>
    </xf>
    <xf numFmtId="43" fontId="36" fillId="0" borderId="2" xfId="19" applyFont="1" applyFill="1" applyBorder="1" applyAlignment="1">
      <alignment horizontal="center" vertical="center"/>
    </xf>
    <xf numFmtId="0" fontId="36" fillId="5" borderId="47" xfId="8" applyFont="1" applyFill="1" applyBorder="1" applyAlignment="1">
      <alignment horizontal="center" vertical="center"/>
    </xf>
    <xf numFmtId="43" fontId="36" fillId="0" borderId="34" xfId="19" applyFont="1" applyFill="1" applyBorder="1" applyAlignment="1">
      <alignment horizontal="center" vertical="center"/>
    </xf>
    <xf numFmtId="0" fontId="36" fillId="0" borderId="13" xfId="8" applyFont="1" applyFill="1" applyBorder="1" applyAlignment="1">
      <alignment horizontal="left" vertical="center" wrapText="1"/>
    </xf>
    <xf numFmtId="0" fontId="36" fillId="0" borderId="34" xfId="8" applyFont="1" applyFill="1" applyBorder="1" applyAlignment="1">
      <alignment horizontal="left" vertical="center"/>
    </xf>
    <xf numFmtId="0" fontId="51" fillId="0" borderId="25" xfId="8" applyFont="1" applyFill="1" applyBorder="1" applyAlignment="1">
      <alignment horizontal="center" vertical="center"/>
    </xf>
    <xf numFmtId="2" fontId="36" fillId="0" borderId="17" xfId="19" applyNumberFormat="1" applyFont="1" applyFill="1" applyBorder="1" applyAlignment="1">
      <alignment horizontal="right" vertical="center"/>
    </xf>
    <xf numFmtId="0" fontId="36" fillId="5" borderId="2" xfId="8" applyFont="1" applyFill="1" applyBorder="1" applyAlignment="1">
      <alignment horizontal="center" vertical="center"/>
    </xf>
    <xf numFmtId="43" fontId="47" fillId="9" borderId="2" xfId="17" applyFont="1" applyFill="1" applyBorder="1" applyAlignment="1">
      <alignment horizontal="center" vertical="center"/>
    </xf>
    <xf numFmtId="0" fontId="40" fillId="5" borderId="20" xfId="8" applyFont="1" applyFill="1" applyBorder="1" applyAlignment="1">
      <alignment horizontal="center" vertical="center"/>
    </xf>
    <xf numFmtId="43" fontId="40" fillId="5" borderId="20" xfId="19" applyFont="1" applyFill="1" applyBorder="1" applyAlignment="1">
      <alignment vertical="center"/>
    </xf>
    <xf numFmtId="0" fontId="52" fillId="0" borderId="2" xfId="8" applyFont="1" applyFill="1" applyBorder="1" applyAlignment="1">
      <alignment horizontal="center" vertical="center" wrapText="1"/>
    </xf>
    <xf numFmtId="0" fontId="52" fillId="0" borderId="20" xfId="8" applyFont="1" applyFill="1" applyBorder="1" applyAlignment="1">
      <alignment horizontal="center" vertical="center" wrapText="1"/>
    </xf>
    <xf numFmtId="0" fontId="53" fillId="0" borderId="2" xfId="8" applyFont="1" applyFill="1" applyBorder="1" applyAlignment="1">
      <alignment horizontal="center" vertical="center" wrapText="1"/>
    </xf>
    <xf numFmtId="0" fontId="53" fillId="0" borderId="20" xfId="8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/>
    </xf>
    <xf numFmtId="0" fontId="28" fillId="0" borderId="2" xfId="0" applyFont="1" applyBorder="1" applyAlignment="1">
      <alignment horizontal="left" vertical="center" wrapText="1"/>
    </xf>
    <xf numFmtId="0" fontId="28" fillId="0" borderId="2" xfId="0" applyFont="1" applyFill="1" applyBorder="1" applyAlignment="1">
      <alignment horizontal="center" vertical="center" wrapText="1"/>
    </xf>
    <xf numFmtId="2" fontId="50" fillId="0" borderId="2" xfId="0" applyNumberFormat="1" applyFont="1" applyFill="1" applyBorder="1" applyAlignment="1">
      <alignment horizontal="right" vertical="center" wrapText="1"/>
    </xf>
    <xf numFmtId="2" fontId="50" fillId="0" borderId="28" xfId="0" applyNumberFormat="1" applyFont="1" applyFill="1" applyBorder="1" applyAlignment="1">
      <alignment horizontal="right" vertical="center" wrapText="1"/>
    </xf>
    <xf numFmtId="43" fontId="49" fillId="9" borderId="18" xfId="17" applyFont="1" applyFill="1" applyBorder="1" applyAlignment="1">
      <alignment horizontal="center" vertical="center" wrapText="1"/>
    </xf>
    <xf numFmtId="43" fontId="36" fillId="0" borderId="2" xfId="19" applyFont="1" applyFill="1" applyBorder="1" applyAlignment="1">
      <alignment horizontal="center" vertical="center"/>
    </xf>
    <xf numFmtId="0" fontId="37" fillId="5" borderId="20" xfId="8" applyFont="1" applyFill="1" applyBorder="1" applyAlignment="1">
      <alignment horizontal="center" vertical="center"/>
    </xf>
    <xf numFmtId="0" fontId="36" fillId="0" borderId="20" xfId="8" applyFont="1" applyFill="1" applyBorder="1" applyAlignment="1">
      <alignment horizontal="center" vertical="center" wrapText="1"/>
    </xf>
    <xf numFmtId="0" fontId="36" fillId="0" borderId="20" xfId="8" applyFont="1" applyFill="1" applyBorder="1" applyAlignment="1">
      <alignment horizontal="center" vertical="center" wrapText="1"/>
    </xf>
    <xf numFmtId="43" fontId="36" fillId="0" borderId="5" xfId="19" applyFont="1" applyFill="1" applyBorder="1" applyAlignment="1">
      <alignment horizontal="center" vertical="center"/>
    </xf>
    <xf numFmtId="43" fontId="36" fillId="0" borderId="2" xfId="19" applyFont="1" applyFill="1" applyBorder="1" applyAlignment="1">
      <alignment horizontal="center" vertical="center"/>
    </xf>
    <xf numFmtId="43" fontId="36" fillId="0" borderId="49" xfId="19" applyFont="1" applyFill="1" applyBorder="1" applyAlignment="1">
      <alignment horizontal="center" vertical="center"/>
    </xf>
    <xf numFmtId="0" fontId="36" fillId="0" borderId="2" xfId="8" applyFont="1" applyFill="1" applyBorder="1" applyAlignment="1">
      <alignment vertical="center" wrapText="1"/>
    </xf>
    <xf numFmtId="0" fontId="36" fillId="0" borderId="20" xfId="8" applyFont="1" applyFill="1" applyBorder="1" applyAlignment="1">
      <alignment vertical="center" wrapText="1"/>
    </xf>
    <xf numFmtId="43" fontId="36" fillId="0" borderId="2" xfId="19" applyFont="1" applyFill="1" applyBorder="1" applyAlignment="1">
      <alignment horizontal="center" vertical="center"/>
    </xf>
    <xf numFmtId="0" fontId="37" fillId="0" borderId="20" xfId="8" applyFont="1" applyFill="1" applyBorder="1" applyAlignment="1">
      <alignment horizontal="center" vertical="center" wrapText="1"/>
    </xf>
    <xf numFmtId="43" fontId="3" fillId="0" borderId="2" xfId="0" applyNumberFormat="1" applyFont="1" applyFill="1" applyBorder="1" applyAlignment="1">
      <alignment horizontal="center" vertical="center" wrapText="1"/>
    </xf>
    <xf numFmtId="43" fontId="3" fillId="0" borderId="2" xfId="17" applyFont="1" applyFill="1" applyBorder="1" applyAlignment="1">
      <alignment horizontal="center" vertical="center" wrapText="1"/>
    </xf>
    <xf numFmtId="43" fontId="28" fillId="9" borderId="18" xfId="17" applyFont="1" applyFill="1" applyBorder="1" applyAlignment="1">
      <alignment horizontal="center" vertical="center" wrapText="1"/>
    </xf>
    <xf numFmtId="0" fontId="53" fillId="0" borderId="2" xfId="8" applyFont="1" applyFill="1" applyBorder="1" applyAlignment="1">
      <alignment horizontal="left" vertical="center" wrapText="1"/>
    </xf>
    <xf numFmtId="0" fontId="37" fillId="0" borderId="2" xfId="8" applyFont="1" applyFill="1" applyBorder="1" applyAlignment="1">
      <alignment horizontal="center" vertical="center" wrapText="1"/>
    </xf>
    <xf numFmtId="0" fontId="36" fillId="0" borderId="44" xfId="8" applyFont="1" applyFill="1" applyBorder="1" applyAlignment="1">
      <alignment horizontal="center" vertical="center"/>
    </xf>
    <xf numFmtId="0" fontId="36" fillId="0" borderId="47" xfId="8" applyFont="1" applyFill="1" applyBorder="1" applyAlignment="1">
      <alignment horizontal="left" vertical="center"/>
    </xf>
    <xf numFmtId="0" fontId="53" fillId="0" borderId="17" xfId="8" applyFont="1" applyFill="1" applyBorder="1" applyAlignment="1">
      <alignment horizontal="left" vertical="center" wrapText="1"/>
    </xf>
    <xf numFmtId="0" fontId="36" fillId="0" borderId="53" xfId="8" applyFont="1" applyFill="1" applyBorder="1" applyAlignment="1">
      <alignment horizontal="left" vertical="center"/>
    </xf>
    <xf numFmtId="43" fontId="36" fillId="0" borderId="24" xfId="8" applyNumberFormat="1" applyFont="1" applyFill="1" applyBorder="1" applyAlignment="1">
      <alignment vertical="center"/>
    </xf>
    <xf numFmtId="0" fontId="37" fillId="0" borderId="44" xfId="8" applyFont="1" applyFill="1" applyBorder="1" applyAlignment="1">
      <alignment horizontal="center" vertical="center" wrapText="1"/>
    </xf>
    <xf numFmtId="0" fontId="36" fillId="0" borderId="34" xfId="8" applyFont="1" applyFill="1" applyBorder="1" applyAlignment="1">
      <alignment vertical="center"/>
    </xf>
    <xf numFmtId="43" fontId="36" fillId="5" borderId="52" xfId="19" applyFont="1" applyFill="1" applyBorder="1" applyAlignment="1">
      <alignment vertical="center"/>
    </xf>
    <xf numFmtId="43" fontId="36" fillId="0" borderId="14" xfId="8" applyNumberFormat="1" applyFont="1" applyFill="1" applyBorder="1" applyAlignment="1">
      <alignment vertical="center"/>
    </xf>
    <xf numFmtId="0" fontId="37" fillId="0" borderId="54" xfId="8" applyFont="1" applyFill="1" applyBorder="1" applyAlignment="1">
      <alignment horizontal="center" vertical="center" wrapText="1"/>
    </xf>
    <xf numFmtId="43" fontId="36" fillId="0" borderId="42" xfId="8" applyNumberFormat="1" applyFont="1" applyFill="1" applyBorder="1" applyAlignment="1">
      <alignment vertical="center"/>
    </xf>
    <xf numFmtId="43" fontId="36" fillId="5" borderId="55" xfId="19" applyFont="1" applyFill="1" applyBorder="1" applyAlignment="1">
      <alignment vertical="center"/>
    </xf>
    <xf numFmtId="43" fontId="36" fillId="5" borderId="24" xfId="19" applyFont="1" applyFill="1" applyBorder="1" applyAlignment="1">
      <alignment vertical="center"/>
    </xf>
    <xf numFmtId="43" fontId="36" fillId="0" borderId="34" xfId="8" applyNumberFormat="1" applyFont="1" applyFill="1" applyBorder="1" applyAlignment="1">
      <alignment vertical="center"/>
    </xf>
    <xf numFmtId="43" fontId="36" fillId="5" borderId="34" xfId="19" applyFont="1" applyFill="1" applyBorder="1" applyAlignment="1">
      <alignment vertical="center"/>
    </xf>
    <xf numFmtId="0" fontId="37" fillId="0" borderId="14" xfId="8" applyFont="1" applyFill="1" applyBorder="1" applyAlignment="1">
      <alignment horizontal="left" vertical="center" wrapText="1"/>
    </xf>
    <xf numFmtId="0" fontId="37" fillId="0" borderId="14" xfId="8" applyFont="1" applyFill="1" applyBorder="1" applyAlignment="1">
      <alignment horizontal="left" vertical="center"/>
    </xf>
    <xf numFmtId="0" fontId="37" fillId="0" borderId="34" xfId="8" applyFont="1" applyFill="1" applyBorder="1" applyAlignment="1">
      <alignment horizontal="left" vertical="center"/>
    </xf>
    <xf numFmtId="0" fontId="36" fillId="0" borderId="20" xfId="8" applyFont="1" applyFill="1" applyBorder="1" applyAlignment="1">
      <alignment horizontal="center" vertical="center" wrapText="1"/>
    </xf>
    <xf numFmtId="0" fontId="37" fillId="5" borderId="20" xfId="8" applyFont="1" applyFill="1" applyBorder="1" applyAlignment="1">
      <alignment horizontal="center" vertical="center"/>
    </xf>
    <xf numFmtId="43" fontId="36" fillId="0" borderId="2" xfId="19" applyFont="1" applyFill="1" applyBorder="1" applyAlignment="1">
      <alignment horizontal="center" vertical="center"/>
    </xf>
    <xf numFmtId="0" fontId="37" fillId="0" borderId="20" xfId="8" applyFont="1" applyFill="1" applyBorder="1" applyAlignment="1">
      <alignment horizontal="center" vertical="center" wrapText="1"/>
    </xf>
    <xf numFmtId="0" fontId="37" fillId="0" borderId="2" xfId="8" applyFont="1" applyFill="1" applyBorder="1" applyAlignment="1">
      <alignment vertical="center"/>
    </xf>
    <xf numFmtId="0" fontId="37" fillId="0" borderId="2" xfId="8" applyFont="1" applyFill="1" applyBorder="1" applyAlignment="1">
      <alignment horizontal="left" vertical="center"/>
    </xf>
    <xf numFmtId="0" fontId="37" fillId="0" borderId="20" xfId="8" applyFont="1" applyFill="1" applyBorder="1" applyAlignment="1">
      <alignment horizontal="left" vertical="center"/>
    </xf>
    <xf numFmtId="0" fontId="37" fillId="0" borderId="2" xfId="8" applyFont="1" applyFill="1" applyBorder="1" applyAlignment="1">
      <alignment horizontal="left" vertical="center" wrapText="1"/>
    </xf>
    <xf numFmtId="0" fontId="54" fillId="5" borderId="2" xfId="8" applyFont="1" applyFill="1" applyBorder="1" applyAlignment="1">
      <alignment vertical="center"/>
    </xf>
    <xf numFmtId="0" fontId="36" fillId="5" borderId="2" xfId="8" applyFont="1" applyFill="1" applyBorder="1" applyAlignment="1">
      <alignment vertical="center"/>
    </xf>
    <xf numFmtId="0" fontId="55" fillId="5" borderId="2" xfId="8" applyFont="1" applyFill="1" applyBorder="1" applyAlignment="1">
      <alignment vertical="center"/>
    </xf>
    <xf numFmtId="0" fontId="36" fillId="0" borderId="2" xfId="8" applyFont="1" applyFill="1" applyBorder="1" applyAlignment="1">
      <alignment horizontal="center" vertical="center" wrapText="1"/>
    </xf>
    <xf numFmtId="0" fontId="36" fillId="0" borderId="2" xfId="8" applyFont="1" applyFill="1" applyBorder="1" applyAlignment="1">
      <alignment horizontal="left" vertical="center"/>
    </xf>
    <xf numFmtId="0" fontId="36" fillId="0" borderId="2" xfId="8" applyFont="1" applyFill="1" applyBorder="1" applyAlignment="1">
      <alignment horizontal="left" vertical="center" wrapText="1"/>
    </xf>
    <xf numFmtId="164" fontId="36" fillId="0" borderId="20" xfId="24" applyNumberFormat="1" applyFont="1" applyFill="1" applyBorder="1" applyAlignment="1">
      <alignment vertical="center"/>
    </xf>
    <xf numFmtId="0" fontId="36" fillId="0" borderId="14" xfId="8" applyFont="1" applyFill="1" applyBorder="1" applyAlignment="1">
      <alignment horizontal="left" vertical="center" wrapText="1"/>
    </xf>
    <xf numFmtId="43" fontId="36" fillId="0" borderId="2" xfId="19" applyFont="1" applyFill="1" applyBorder="1" applyAlignment="1">
      <alignment horizontal="center" vertical="center" wrapText="1"/>
    </xf>
    <xf numFmtId="43" fontId="36" fillId="0" borderId="20" xfId="19" applyFont="1" applyFill="1" applyBorder="1" applyAlignment="1">
      <alignment vertical="center" wrapText="1"/>
    </xf>
    <xf numFmtId="0" fontId="36" fillId="0" borderId="24" xfId="8" applyFont="1" applyFill="1" applyBorder="1" applyAlignment="1">
      <alignment vertical="center"/>
    </xf>
    <xf numFmtId="0" fontId="37" fillId="0" borderId="24" xfId="8" applyFont="1" applyFill="1" applyBorder="1" applyAlignment="1">
      <alignment horizontal="left" vertical="center"/>
    </xf>
    <xf numFmtId="43" fontId="36" fillId="0" borderId="14" xfId="19" applyFont="1" applyFill="1" applyBorder="1" applyAlignment="1">
      <alignment vertical="center" wrapText="1"/>
    </xf>
    <xf numFmtId="0" fontId="37" fillId="0" borderId="13" xfId="8" applyFont="1" applyFill="1" applyBorder="1" applyAlignment="1">
      <alignment vertical="center" wrapText="1"/>
    </xf>
    <xf numFmtId="0" fontId="37" fillId="0" borderId="13" xfId="8" applyFont="1" applyFill="1" applyBorder="1" applyAlignment="1">
      <alignment horizontal="left" vertical="center" wrapText="1"/>
    </xf>
    <xf numFmtId="43" fontId="36" fillId="0" borderId="13" xfId="19" applyFont="1" applyFill="1" applyBorder="1" applyAlignment="1">
      <alignment vertical="center" wrapText="1"/>
    </xf>
    <xf numFmtId="0" fontId="37" fillId="0" borderId="20" xfId="8" applyFont="1" applyFill="1" applyBorder="1" applyAlignment="1">
      <alignment horizontal="center" vertical="center" wrapText="1"/>
    </xf>
    <xf numFmtId="0" fontId="37" fillId="0" borderId="16" xfId="8" applyFont="1" applyFill="1" applyBorder="1" applyAlignment="1">
      <alignment horizontal="center" vertical="center"/>
    </xf>
    <xf numFmtId="0" fontId="37" fillId="0" borderId="13" xfId="8" applyFont="1" applyFill="1" applyBorder="1" applyAlignment="1">
      <alignment horizontal="left" vertical="center"/>
    </xf>
    <xf numFmtId="43" fontId="36" fillId="0" borderId="12" xfId="19" applyFont="1" applyFill="1" applyBorder="1" applyAlignment="1">
      <alignment horizontal="center" vertical="center"/>
    </xf>
    <xf numFmtId="0" fontId="37" fillId="0" borderId="11" xfId="8" applyFont="1" applyFill="1" applyBorder="1" applyAlignment="1">
      <alignment horizontal="center" vertical="center"/>
    </xf>
    <xf numFmtId="0" fontId="36" fillId="0" borderId="13" xfId="8" applyFont="1" applyFill="1" applyBorder="1" applyAlignment="1">
      <alignment vertical="center" wrapText="1"/>
    </xf>
    <xf numFmtId="43" fontId="36" fillId="5" borderId="15" xfId="19" applyFont="1" applyFill="1" applyBorder="1" applyAlignment="1">
      <alignment vertical="center"/>
    </xf>
    <xf numFmtId="0" fontId="36" fillId="5" borderId="20" xfId="8" applyFont="1" applyFill="1" applyBorder="1" applyAlignment="1">
      <alignment horizontal="center" vertical="center"/>
    </xf>
    <xf numFmtId="0" fontId="36" fillId="0" borderId="34" xfId="8" applyFont="1" applyFill="1" applyBorder="1" applyAlignment="1">
      <alignment horizontal="left" vertical="center" wrapText="1"/>
    </xf>
    <xf numFmtId="0" fontId="36" fillId="0" borderId="14" xfId="8" applyFont="1" applyFill="1" applyBorder="1" applyAlignment="1">
      <alignment horizontal="left" vertical="center"/>
    </xf>
    <xf numFmtId="0" fontId="56" fillId="0" borderId="13" xfId="8" applyFont="1" applyFill="1" applyBorder="1" applyAlignment="1">
      <alignment horizontal="center" vertical="center" wrapText="1"/>
    </xf>
    <xf numFmtId="0" fontId="53" fillId="0" borderId="13" xfId="8" applyFont="1" applyFill="1" applyBorder="1" applyAlignment="1">
      <alignment horizontal="left" vertical="center" wrapText="1"/>
    </xf>
    <xf numFmtId="43" fontId="36" fillId="0" borderId="17" xfId="19" applyFont="1" applyFill="1" applyBorder="1" applyAlignment="1">
      <alignment horizontal="center" vertical="center" wrapText="1"/>
    </xf>
    <xf numFmtId="0" fontId="37" fillId="0" borderId="20" xfId="8" applyFont="1" applyFill="1" applyBorder="1" applyAlignment="1">
      <alignment horizontal="left" vertical="center" wrapText="1"/>
    </xf>
    <xf numFmtId="43" fontId="36" fillId="0" borderId="24" xfId="19" applyFont="1" applyFill="1" applyBorder="1" applyAlignment="1">
      <alignment horizontal="center" vertical="center" wrapText="1"/>
    </xf>
    <xf numFmtId="43" fontId="36" fillId="0" borderId="2" xfId="19" applyFont="1" applyFill="1" applyBorder="1" applyAlignment="1">
      <alignment horizontal="center" vertical="center"/>
    </xf>
    <xf numFmtId="2" fontId="36" fillId="0" borderId="24" xfId="19" applyNumberFormat="1" applyFont="1" applyFill="1" applyBorder="1" applyAlignment="1">
      <alignment horizontal="right" vertical="center"/>
    </xf>
    <xf numFmtId="0" fontId="36" fillId="0" borderId="2" xfId="8" applyFont="1" applyFill="1" applyBorder="1" applyAlignment="1">
      <alignment horizontal="left" vertical="center"/>
    </xf>
    <xf numFmtId="0" fontId="36" fillId="0" borderId="14" xfId="8" applyFont="1" applyFill="1" applyBorder="1" applyAlignment="1">
      <alignment horizontal="center" vertical="center"/>
    </xf>
    <xf numFmtId="43" fontId="36" fillId="0" borderId="2" xfId="19" applyFont="1" applyFill="1" applyBorder="1" applyAlignment="1">
      <alignment horizontal="center" vertical="center"/>
    </xf>
    <xf numFmtId="0" fontId="36" fillId="0" borderId="2" xfId="8" applyFont="1" applyFill="1" applyBorder="1" applyAlignment="1">
      <alignment horizontal="left" vertical="center" wrapText="1"/>
    </xf>
    <xf numFmtId="43" fontId="36" fillId="0" borderId="24" xfId="19" applyFont="1" applyFill="1" applyBorder="1" applyAlignment="1">
      <alignment vertical="center" wrapText="1"/>
    </xf>
    <xf numFmtId="43" fontId="37" fillId="5" borderId="20" xfId="19" applyFont="1" applyFill="1" applyBorder="1" applyAlignment="1">
      <alignment horizontal="center" vertical="center"/>
    </xf>
    <xf numFmtId="43" fontId="36" fillId="0" borderId="3" xfId="19" applyFont="1" applyFill="1" applyBorder="1" applyAlignment="1">
      <alignment horizontal="center" vertical="center" wrapText="1"/>
    </xf>
    <xf numFmtId="43" fontId="36" fillId="0" borderId="5" xfId="19" applyFont="1" applyFill="1" applyBorder="1" applyAlignment="1">
      <alignment horizontal="center" vertical="center" wrapText="1"/>
    </xf>
    <xf numFmtId="0" fontId="36" fillId="0" borderId="2" xfId="8" applyFont="1" applyFill="1" applyBorder="1" applyAlignment="1">
      <alignment horizontal="left" vertical="center"/>
    </xf>
    <xf numFmtId="43" fontId="36" fillId="5" borderId="20" xfId="19" applyFont="1" applyFill="1" applyBorder="1" applyAlignment="1">
      <alignment horizontal="center" vertical="center"/>
    </xf>
    <xf numFmtId="43" fontId="36" fillId="0" borderId="2" xfId="19" applyFont="1" applyFill="1" applyBorder="1" applyAlignment="1">
      <alignment horizontal="center" vertical="center"/>
    </xf>
    <xf numFmtId="0" fontId="37" fillId="5" borderId="2" xfId="8" applyFont="1" applyFill="1" applyBorder="1" applyAlignment="1">
      <alignment horizontal="center" vertical="center" wrapText="1"/>
    </xf>
    <xf numFmtId="0" fontId="37" fillId="5" borderId="14" xfId="8" applyFont="1" applyFill="1" applyBorder="1" applyAlignment="1">
      <alignment horizontal="center" vertical="center" wrapText="1"/>
    </xf>
    <xf numFmtId="0" fontId="37" fillId="5" borderId="19" xfId="8" applyFont="1" applyFill="1" applyBorder="1" applyAlignment="1">
      <alignment horizontal="center" vertical="center" wrapText="1"/>
    </xf>
    <xf numFmtId="0" fontId="37" fillId="5" borderId="20" xfId="8" applyFont="1" applyFill="1" applyBorder="1" applyAlignment="1">
      <alignment horizontal="center" vertical="center" wrapText="1"/>
    </xf>
    <xf numFmtId="43" fontId="36" fillId="5" borderId="2" xfId="19" applyFont="1" applyFill="1" applyBorder="1" applyAlignment="1">
      <alignment horizontal="left" vertical="center"/>
    </xf>
    <xf numFmtId="0" fontId="36" fillId="0" borderId="2" xfId="8" applyFont="1" applyFill="1" applyBorder="1" applyAlignment="1">
      <alignment horizontal="left" vertical="center"/>
    </xf>
    <xf numFmtId="0" fontId="37" fillId="0" borderId="47" xfId="8" applyFont="1" applyFill="1" applyBorder="1" applyAlignment="1">
      <alignment horizontal="center" vertical="center" wrapText="1"/>
    </xf>
    <xf numFmtId="43" fontId="36" fillId="0" borderId="2" xfId="19" applyFont="1" applyFill="1" applyBorder="1" applyAlignment="1">
      <alignment horizontal="center" vertical="center"/>
    </xf>
    <xf numFmtId="0" fontId="37" fillId="5" borderId="20" xfId="8" applyFont="1" applyFill="1" applyBorder="1" applyAlignment="1">
      <alignment horizontal="center" vertical="center"/>
    </xf>
    <xf numFmtId="43" fontId="36" fillId="0" borderId="49" xfId="19" applyFont="1" applyFill="1" applyBorder="1" applyAlignment="1">
      <alignment horizontal="center" vertical="center"/>
    </xf>
    <xf numFmtId="43" fontId="36" fillId="5" borderId="2" xfId="19" applyFont="1" applyFill="1" applyBorder="1" applyAlignment="1">
      <alignment horizontal="center" vertical="center"/>
    </xf>
    <xf numFmtId="0" fontId="53" fillId="0" borderId="20" xfId="8" applyFont="1" applyFill="1" applyBorder="1" applyAlignment="1">
      <alignment horizontal="left" vertical="center" wrapText="1"/>
    </xf>
    <xf numFmtId="0" fontId="53" fillId="0" borderId="14" xfId="8" applyFont="1" applyFill="1" applyBorder="1" applyAlignment="1">
      <alignment horizontal="left" vertical="center" wrapText="1"/>
    </xf>
    <xf numFmtId="0" fontId="56" fillId="0" borderId="13" xfId="8" applyFont="1" applyFill="1" applyBorder="1" applyAlignment="1">
      <alignment horizontal="left" vertical="center" wrapText="1"/>
    </xf>
    <xf numFmtId="0" fontId="36" fillId="0" borderId="17" xfId="8" applyFont="1" applyFill="1" applyBorder="1" applyAlignment="1">
      <alignment horizontal="left" vertical="center"/>
    </xf>
    <xf numFmtId="0" fontId="3" fillId="0" borderId="20" xfId="0" applyFont="1" applyFill="1" applyBorder="1" applyAlignment="1">
      <alignment horizontal="center" vertical="center" wrapText="1"/>
    </xf>
    <xf numFmtId="0" fontId="46" fillId="0" borderId="20" xfId="0" applyFont="1" applyBorder="1" applyAlignment="1">
      <alignment horizontal="center" vertical="center"/>
    </xf>
    <xf numFmtId="0" fontId="43" fillId="0" borderId="20" xfId="0" applyFont="1" applyFill="1" applyBorder="1" applyAlignment="1">
      <alignment horizontal="center" vertical="center"/>
    </xf>
    <xf numFmtId="0" fontId="45" fillId="0" borderId="20" xfId="0" applyFont="1" applyFill="1" applyBorder="1" applyAlignment="1">
      <alignment horizontal="right" vertical="center" wrapText="1"/>
    </xf>
    <xf numFmtId="2" fontId="45" fillId="0" borderId="20" xfId="0" applyNumberFormat="1" applyFont="1" applyFill="1" applyBorder="1" applyAlignment="1">
      <alignment horizontal="right" vertical="center" wrapText="1"/>
    </xf>
    <xf numFmtId="43" fontId="45" fillId="9" borderId="20" xfId="17" applyFont="1" applyFill="1" applyBorder="1" applyAlignment="1">
      <alignment horizontal="center" vertical="center" wrapText="1"/>
    </xf>
    <xf numFmtId="43" fontId="36" fillId="5" borderId="45" xfId="19" applyFont="1" applyFill="1" applyBorder="1" applyAlignment="1">
      <alignment horizontal="center" vertical="center"/>
    </xf>
    <xf numFmtId="43" fontId="36" fillId="5" borderId="56" xfId="19" applyFont="1" applyFill="1" applyBorder="1" applyAlignment="1">
      <alignment horizontal="center" vertical="center"/>
    </xf>
    <xf numFmtId="43" fontId="36" fillId="5" borderId="33" xfId="19" applyFont="1" applyFill="1" applyBorder="1" applyAlignment="1">
      <alignment horizontal="center" vertical="center"/>
    </xf>
    <xf numFmtId="2" fontId="28" fillId="5" borderId="57" xfId="11" applyNumberFormat="1" applyFont="1" applyFill="1" applyBorder="1" applyAlignment="1">
      <alignment horizontal="center" vertical="center" wrapText="1"/>
    </xf>
    <xf numFmtId="0" fontId="37" fillId="11" borderId="11" xfId="8" applyFont="1" applyFill="1" applyBorder="1" applyAlignment="1">
      <alignment horizontal="center" vertical="center"/>
    </xf>
    <xf numFmtId="0" fontId="36" fillId="11" borderId="16" xfId="8" applyFont="1" applyFill="1" applyBorder="1" applyAlignment="1">
      <alignment horizontal="center" vertical="center"/>
    </xf>
    <xf numFmtId="43" fontId="36" fillId="11" borderId="14" xfId="19" applyFont="1" applyFill="1" applyBorder="1" applyAlignment="1">
      <alignment vertical="center"/>
    </xf>
    <xf numFmtId="43" fontId="36" fillId="11" borderId="14" xfId="19" applyFont="1" applyFill="1" applyBorder="1" applyAlignment="1">
      <alignment horizontal="center" vertical="center"/>
    </xf>
    <xf numFmtId="0" fontId="36" fillId="11" borderId="14" xfId="8" applyFont="1" applyFill="1" applyBorder="1" applyAlignment="1">
      <alignment horizontal="center" vertical="center"/>
    </xf>
    <xf numFmtId="0" fontId="36" fillId="11" borderId="18" xfId="8" applyFont="1" applyFill="1" applyBorder="1" applyAlignment="1">
      <alignment horizontal="center" vertical="center"/>
    </xf>
    <xf numFmtId="49" fontId="30" fillId="11" borderId="58" xfId="11" applyNumberFormat="1" applyFont="1" applyFill="1" applyBorder="1" applyAlignment="1">
      <alignment horizontal="center" vertical="center"/>
    </xf>
    <xf numFmtId="43" fontId="36" fillId="11" borderId="3" xfId="19" applyFont="1" applyFill="1" applyBorder="1" applyAlignment="1">
      <alignment vertical="center"/>
    </xf>
    <xf numFmtId="43" fontId="36" fillId="11" borderId="4" xfId="19" applyFont="1" applyFill="1" applyBorder="1" applyAlignment="1">
      <alignment vertical="center"/>
    </xf>
    <xf numFmtId="43" fontId="36" fillId="11" borderId="51" xfId="19" applyFont="1" applyFill="1" applyBorder="1" applyAlignment="1">
      <alignment vertical="center"/>
    </xf>
    <xf numFmtId="49" fontId="28" fillId="11" borderId="58" xfId="11" applyNumberFormat="1" applyFont="1" applyFill="1" applyBorder="1" applyAlignment="1">
      <alignment horizontal="center" vertical="center"/>
    </xf>
    <xf numFmtId="2" fontId="28" fillId="11" borderId="59" xfId="11" applyNumberFormat="1" applyFont="1" applyFill="1" applyBorder="1" applyAlignment="1">
      <alignment horizontal="right" vertical="center"/>
    </xf>
    <xf numFmtId="2" fontId="28" fillId="11" borderId="60" xfId="11" applyNumberFormat="1" applyFont="1" applyFill="1" applyBorder="1" applyAlignment="1">
      <alignment horizontal="right" vertical="center" wrapText="1"/>
    </xf>
    <xf numFmtId="2" fontId="28" fillId="11" borderId="2" xfId="11" applyNumberFormat="1" applyFont="1" applyFill="1" applyBorder="1" applyAlignment="1">
      <alignment horizontal="right" vertical="center"/>
    </xf>
    <xf numFmtId="2" fontId="28" fillId="11" borderId="2" xfId="11" applyNumberFormat="1" applyFont="1" applyFill="1" applyBorder="1" applyAlignment="1">
      <alignment horizontal="right" vertical="center" wrapText="1"/>
    </xf>
    <xf numFmtId="43" fontId="36" fillId="11" borderId="2" xfId="19" applyFont="1" applyFill="1" applyBorder="1" applyAlignment="1">
      <alignment vertical="center"/>
    </xf>
    <xf numFmtId="2" fontId="36" fillId="11" borderId="2" xfId="8" applyNumberFormat="1" applyFont="1" applyFill="1" applyBorder="1" applyAlignment="1">
      <alignment vertical="center"/>
    </xf>
    <xf numFmtId="43" fontId="36" fillId="11" borderId="23" xfId="19" applyFont="1" applyFill="1" applyBorder="1" applyAlignment="1">
      <alignment vertical="center"/>
    </xf>
    <xf numFmtId="43" fontId="36" fillId="11" borderId="4" xfId="19" applyFont="1" applyFill="1" applyBorder="1" applyAlignment="1">
      <alignment horizontal="center" vertical="center"/>
    </xf>
    <xf numFmtId="2" fontId="28" fillId="11" borderId="61" xfId="11" applyNumberFormat="1" applyFont="1" applyFill="1" applyBorder="1" applyAlignment="1">
      <alignment horizontal="center" vertical="center" wrapText="1"/>
    </xf>
    <xf numFmtId="2" fontId="30" fillId="11" borderId="57" xfId="11" applyNumberFormat="1" applyFont="1" applyFill="1" applyBorder="1" applyAlignment="1">
      <alignment horizontal="center" vertical="center" wrapText="1"/>
    </xf>
    <xf numFmtId="2" fontId="28" fillId="11" borderId="57" xfId="11" applyNumberFormat="1" applyFont="1" applyFill="1" applyBorder="1" applyAlignment="1">
      <alignment horizontal="center" vertical="center" wrapText="1"/>
    </xf>
    <xf numFmtId="2" fontId="28" fillId="11" borderId="62" xfId="11" applyNumberFormat="1" applyFont="1" applyFill="1" applyBorder="1" applyAlignment="1">
      <alignment horizontal="right" vertical="center"/>
    </xf>
    <xf numFmtId="2" fontId="28" fillId="11" borderId="57" xfId="11" applyNumberFormat="1" applyFont="1" applyFill="1" applyBorder="1" applyAlignment="1">
      <alignment horizontal="right" vertical="center" wrapText="1"/>
    </xf>
    <xf numFmtId="2" fontId="30" fillId="11" borderId="63" xfId="11" applyNumberFormat="1" applyFont="1" applyFill="1" applyBorder="1" applyAlignment="1">
      <alignment horizontal="center" vertical="center" wrapText="1"/>
    </xf>
    <xf numFmtId="2" fontId="30" fillId="11" borderId="64" xfId="11" applyNumberFormat="1" applyFont="1" applyFill="1" applyBorder="1" applyAlignment="1">
      <alignment horizontal="center" vertical="center" wrapText="1"/>
    </xf>
    <xf numFmtId="2" fontId="30" fillId="11" borderId="65" xfId="11" applyNumberFormat="1" applyFont="1" applyFill="1" applyBorder="1" applyAlignment="1">
      <alignment horizontal="center" vertical="center" wrapText="1"/>
    </xf>
    <xf numFmtId="2" fontId="30" fillId="11" borderId="14" xfId="11" applyNumberFormat="1" applyFont="1" applyFill="1" applyBorder="1" applyAlignment="1">
      <alignment horizontal="center" vertical="center" wrapText="1"/>
    </xf>
    <xf numFmtId="2" fontId="30" fillId="11" borderId="61" xfId="11" applyNumberFormat="1" applyFont="1" applyFill="1" applyBorder="1" applyAlignment="1">
      <alignment horizontal="center" vertical="center" wrapText="1"/>
    </xf>
    <xf numFmtId="0" fontId="33" fillId="11" borderId="61" xfId="11" applyFill="1" applyBorder="1" applyAlignment="1"/>
    <xf numFmtId="164" fontId="28" fillId="11" borderId="66" xfId="20" applyFont="1" applyFill="1" applyBorder="1" applyAlignment="1">
      <alignment horizontal="center" vertical="center"/>
    </xf>
    <xf numFmtId="4" fontId="28" fillId="11" borderId="67" xfId="20" applyNumberFormat="1" applyFont="1" applyFill="1" applyBorder="1" applyAlignment="1">
      <alignment horizontal="right" vertical="center"/>
    </xf>
    <xf numFmtId="2" fontId="28" fillId="11" borderId="62" xfId="11" applyNumberFormat="1" applyFont="1" applyFill="1" applyBorder="1" applyAlignment="1">
      <alignment horizontal="center" vertical="center"/>
    </xf>
    <xf numFmtId="2" fontId="28" fillId="11" borderId="61" xfId="11" applyNumberFormat="1" applyFont="1" applyFill="1" applyBorder="1" applyAlignment="1">
      <alignment horizontal="center" vertical="center"/>
    </xf>
    <xf numFmtId="0" fontId="37" fillId="11" borderId="25" xfId="8" applyFont="1" applyFill="1" applyBorder="1" applyAlignment="1">
      <alignment horizontal="center" vertical="center"/>
    </xf>
    <xf numFmtId="0" fontId="37" fillId="11" borderId="25" xfId="8" applyFont="1" applyFill="1" applyBorder="1" applyAlignment="1">
      <alignment horizontal="center" vertical="center" wrapText="1"/>
    </xf>
    <xf numFmtId="166" fontId="36" fillId="11" borderId="2" xfId="19" applyNumberFormat="1" applyFont="1" applyFill="1" applyBorder="1" applyAlignment="1">
      <alignment vertical="center"/>
    </xf>
    <xf numFmtId="43" fontId="36" fillId="11" borderId="20" xfId="19" applyFont="1" applyFill="1" applyBorder="1" applyAlignment="1">
      <alignment horizontal="center" vertical="center"/>
    </xf>
    <xf numFmtId="166" fontId="36" fillId="11" borderId="20" xfId="19" applyNumberFormat="1" applyFont="1" applyFill="1" applyBorder="1" applyAlignment="1">
      <alignment horizontal="center" vertical="center"/>
    </xf>
    <xf numFmtId="2" fontId="36" fillId="11" borderId="20" xfId="8" applyNumberFormat="1" applyFont="1" applyFill="1" applyBorder="1" applyAlignment="1">
      <alignment horizontal="right" vertical="center"/>
    </xf>
    <xf numFmtId="43" fontId="36" fillId="11" borderId="2" xfId="19" applyFont="1" applyFill="1" applyBorder="1" applyAlignment="1">
      <alignment horizontal="center" vertical="center"/>
    </xf>
    <xf numFmtId="2" fontId="36" fillId="11" borderId="2" xfId="8" applyNumberFormat="1" applyFont="1" applyFill="1" applyBorder="1" applyAlignment="1">
      <alignment horizontal="right" vertical="center"/>
    </xf>
    <xf numFmtId="166" fontId="36" fillId="11" borderId="4" xfId="19" applyNumberFormat="1" applyFont="1" applyFill="1" applyBorder="1" applyAlignment="1">
      <alignment vertical="center"/>
    </xf>
    <xf numFmtId="0" fontId="36" fillId="11" borderId="28" xfId="8" applyFont="1" applyFill="1" applyBorder="1" applyAlignment="1">
      <alignment horizontal="center" vertical="center"/>
    </xf>
    <xf numFmtId="0" fontId="36" fillId="11" borderId="2" xfId="8" applyFont="1" applyFill="1" applyBorder="1" applyAlignment="1">
      <alignment vertical="center"/>
    </xf>
    <xf numFmtId="43" fontId="36" fillId="11" borderId="2" xfId="8" applyNumberFormat="1" applyFont="1" applyFill="1" applyBorder="1" applyAlignment="1">
      <alignment vertical="center"/>
    </xf>
    <xf numFmtId="43" fontId="36" fillId="11" borderId="5" xfId="19" applyFont="1" applyFill="1" applyBorder="1" applyAlignment="1">
      <alignment vertical="center"/>
    </xf>
    <xf numFmtId="43" fontId="36" fillId="11" borderId="4" xfId="19" applyNumberFormat="1" applyFont="1" applyFill="1" applyBorder="1" applyAlignment="1">
      <alignment vertical="center"/>
    </xf>
    <xf numFmtId="0" fontId="36" fillId="11" borderId="0" xfId="8" applyFont="1" applyFill="1" applyBorder="1" applyAlignment="1">
      <alignment vertical="center"/>
    </xf>
    <xf numFmtId="43" fontId="38" fillId="0" borderId="13" xfId="19" applyFont="1" applyFill="1" applyBorder="1" applyAlignment="1">
      <alignment horizontal="center" vertical="center"/>
    </xf>
    <xf numFmtId="43" fontId="37" fillId="0" borderId="12" xfId="19" applyFont="1" applyFill="1" applyBorder="1" applyAlignment="1">
      <alignment horizontal="center" vertical="center"/>
    </xf>
    <xf numFmtId="2" fontId="36" fillId="11" borderId="14" xfId="8" applyNumberFormat="1" applyFont="1" applyFill="1" applyBorder="1" applyAlignment="1">
      <alignment horizontal="right" vertical="center"/>
    </xf>
    <xf numFmtId="2" fontId="36" fillId="11" borderId="18" xfId="8" applyNumberFormat="1" applyFont="1" applyFill="1" applyBorder="1" applyAlignment="1">
      <alignment horizontal="right" vertical="center"/>
    </xf>
    <xf numFmtId="172" fontId="36" fillId="11" borderId="2" xfId="8" applyNumberFormat="1" applyFont="1" applyFill="1" applyBorder="1" applyAlignment="1">
      <alignment vertical="center"/>
    </xf>
    <xf numFmtId="43" fontId="38" fillId="11" borderId="4" xfId="19" applyFont="1" applyFill="1" applyBorder="1" applyAlignment="1">
      <alignment vertical="center" wrapText="1"/>
    </xf>
    <xf numFmtId="43" fontId="38" fillId="11" borderId="51" xfId="19" applyFont="1" applyFill="1" applyBorder="1" applyAlignment="1">
      <alignment vertical="center" wrapText="1"/>
    </xf>
    <xf numFmtId="43" fontId="36" fillId="11" borderId="14" xfId="19" applyFont="1" applyFill="1" applyBorder="1" applyAlignment="1">
      <alignment horizontal="left" vertical="center" wrapText="1"/>
    </xf>
    <xf numFmtId="166" fontId="36" fillId="11" borderId="14" xfId="19" applyNumberFormat="1" applyFont="1" applyFill="1" applyBorder="1" applyAlignment="1">
      <alignment horizontal="left" vertical="center" wrapText="1"/>
    </xf>
    <xf numFmtId="166" fontId="39" fillId="11" borderId="4" xfId="19" applyNumberFormat="1" applyFont="1" applyFill="1" applyBorder="1" applyAlignment="1">
      <alignment vertical="center" wrapText="1"/>
    </xf>
    <xf numFmtId="43" fontId="39" fillId="11" borderId="4" xfId="19" applyFont="1" applyFill="1" applyBorder="1" applyAlignment="1">
      <alignment vertical="center" wrapText="1"/>
    </xf>
    <xf numFmtId="43" fontId="39" fillId="11" borderId="3" xfId="19" applyFont="1" applyFill="1" applyBorder="1" applyAlignment="1">
      <alignment vertical="center" wrapText="1"/>
    </xf>
    <xf numFmtId="43" fontId="39" fillId="11" borderId="51" xfId="19" applyFont="1" applyFill="1" applyBorder="1" applyAlignment="1">
      <alignment vertical="center" wrapText="1"/>
    </xf>
    <xf numFmtId="43" fontId="36" fillId="11" borderId="0" xfId="8" applyNumberFormat="1" applyFont="1" applyFill="1" applyBorder="1" applyAlignment="1">
      <alignment vertical="center"/>
    </xf>
    <xf numFmtId="43" fontId="36" fillId="5" borderId="48" xfId="19" applyFont="1" applyFill="1" applyBorder="1" applyAlignment="1">
      <alignment vertical="center" wrapText="1"/>
    </xf>
    <xf numFmtId="43" fontId="36" fillId="5" borderId="38" xfId="19" applyFont="1" applyFill="1" applyBorder="1" applyAlignment="1">
      <alignment vertical="center" wrapText="1"/>
    </xf>
    <xf numFmtId="43" fontId="36" fillId="5" borderId="49" xfId="19" applyFont="1" applyFill="1" applyBorder="1" applyAlignment="1">
      <alignment vertical="center" wrapText="1"/>
    </xf>
    <xf numFmtId="0" fontId="37" fillId="11" borderId="16" xfId="8" applyFont="1" applyFill="1" applyBorder="1" applyAlignment="1">
      <alignment horizontal="center" vertical="center"/>
    </xf>
    <xf numFmtId="43" fontId="38" fillId="11" borderId="14" xfId="19" applyFont="1" applyFill="1" applyBorder="1" applyAlignment="1">
      <alignment horizontal="left" vertical="center" wrapText="1"/>
    </xf>
    <xf numFmtId="43" fontId="38" fillId="11" borderId="14" xfId="19" applyFont="1" applyFill="1" applyBorder="1" applyAlignment="1">
      <alignment horizontal="center" vertical="center"/>
    </xf>
    <xf numFmtId="43" fontId="37" fillId="11" borderId="18" xfId="19" applyFont="1" applyFill="1" applyBorder="1" applyAlignment="1">
      <alignment horizontal="center" vertical="center"/>
    </xf>
    <xf numFmtId="43" fontId="38" fillId="11" borderId="2" xfId="19" applyFont="1" applyFill="1" applyBorder="1" applyAlignment="1">
      <alignment horizontal="left" vertical="center" wrapText="1"/>
    </xf>
    <xf numFmtId="43" fontId="38" fillId="11" borderId="2" xfId="19" applyFont="1" applyFill="1" applyBorder="1" applyAlignment="1">
      <alignment horizontal="center" vertical="center"/>
    </xf>
    <xf numFmtId="43" fontId="37" fillId="11" borderId="23" xfId="19" applyFont="1" applyFill="1" applyBorder="1" applyAlignment="1">
      <alignment horizontal="center" vertical="center"/>
    </xf>
    <xf numFmtId="0" fontId="37" fillId="11" borderId="21" xfId="8" applyFont="1" applyFill="1" applyBorder="1" applyAlignment="1">
      <alignment horizontal="center" vertical="center"/>
    </xf>
    <xf numFmtId="43" fontId="38" fillId="11" borderId="20" xfId="19" applyFont="1" applyFill="1" applyBorder="1" applyAlignment="1">
      <alignment horizontal="left" vertical="center" wrapText="1"/>
    </xf>
    <xf numFmtId="43" fontId="38" fillId="11" borderId="20" xfId="19" applyFont="1" applyFill="1" applyBorder="1" applyAlignment="1">
      <alignment horizontal="center" vertical="center"/>
    </xf>
    <xf numFmtId="43" fontId="37" fillId="11" borderId="22" xfId="19" applyFont="1" applyFill="1" applyBorder="1" applyAlignment="1">
      <alignment horizontal="center" vertical="center"/>
    </xf>
    <xf numFmtId="0" fontId="36" fillId="0" borderId="2" xfId="8" applyFont="1" applyFill="1" applyBorder="1" applyAlignment="1">
      <alignment horizontal="center" vertical="center"/>
    </xf>
    <xf numFmtId="43" fontId="38" fillId="11" borderId="13" xfId="19" applyFont="1" applyFill="1" applyBorder="1" applyAlignment="1">
      <alignment horizontal="center" vertical="center"/>
    </xf>
    <xf numFmtId="43" fontId="37" fillId="11" borderId="12" xfId="19" applyFont="1" applyFill="1" applyBorder="1" applyAlignment="1">
      <alignment vertical="center"/>
    </xf>
    <xf numFmtId="0" fontId="36" fillId="11" borderId="25" xfId="8" applyFont="1" applyFill="1" applyBorder="1" applyAlignment="1">
      <alignment horizontal="center" vertical="center"/>
    </xf>
    <xf numFmtId="43" fontId="37" fillId="0" borderId="12" xfId="19" applyFont="1" applyFill="1" applyBorder="1" applyAlignment="1">
      <alignment vertical="center"/>
    </xf>
    <xf numFmtId="0" fontId="36" fillId="0" borderId="25" xfId="8" applyFont="1" applyFill="1" applyBorder="1" applyAlignment="1">
      <alignment horizontal="center" vertical="center"/>
    </xf>
    <xf numFmtId="0" fontId="36" fillId="5" borderId="19" xfId="8" applyFont="1" applyFill="1" applyBorder="1" applyAlignment="1">
      <alignment horizontal="center" vertical="center"/>
    </xf>
    <xf numFmtId="0" fontId="36" fillId="12" borderId="19" xfId="8" applyFont="1" applyFill="1" applyBorder="1" applyAlignment="1">
      <alignment horizontal="center" vertical="center"/>
    </xf>
    <xf numFmtId="43" fontId="36" fillId="12" borderId="45" xfId="19" applyFont="1" applyFill="1" applyBorder="1" applyAlignment="1">
      <alignment horizontal="center" vertical="center"/>
    </xf>
    <xf numFmtId="43" fontId="36" fillId="12" borderId="56" xfId="19" applyFont="1" applyFill="1" applyBorder="1" applyAlignment="1">
      <alignment horizontal="center" vertical="center"/>
    </xf>
    <xf numFmtId="43" fontId="36" fillId="12" borderId="33" xfId="19" applyFont="1" applyFill="1" applyBorder="1" applyAlignment="1">
      <alignment horizontal="center" vertical="center"/>
    </xf>
    <xf numFmtId="43" fontId="36" fillId="12" borderId="17" xfId="19" applyFont="1" applyFill="1" applyBorder="1" applyAlignment="1">
      <alignment vertical="center"/>
    </xf>
    <xf numFmtId="43" fontId="36" fillId="12" borderId="15" xfId="19" applyFont="1" applyFill="1" applyBorder="1" applyAlignment="1">
      <alignment vertical="center"/>
    </xf>
    <xf numFmtId="0" fontId="37" fillId="13" borderId="11" xfId="8" applyFont="1" applyFill="1" applyBorder="1" applyAlignment="1">
      <alignment horizontal="center" vertical="center"/>
    </xf>
    <xf numFmtId="43" fontId="38" fillId="13" borderId="13" xfId="19" applyFont="1" applyFill="1" applyBorder="1" applyAlignment="1">
      <alignment horizontal="center" vertical="center"/>
    </xf>
    <xf numFmtId="43" fontId="37" fillId="13" borderId="12" xfId="19" applyFont="1" applyFill="1" applyBorder="1" applyAlignment="1">
      <alignment vertical="center"/>
    </xf>
    <xf numFmtId="0" fontId="36" fillId="13" borderId="25" xfId="8" applyFont="1" applyFill="1" applyBorder="1" applyAlignment="1">
      <alignment horizontal="center" vertical="center"/>
    </xf>
    <xf numFmtId="43" fontId="36" fillId="13" borderId="2" xfId="19" applyFont="1" applyFill="1" applyBorder="1" applyAlignment="1">
      <alignment vertical="center"/>
    </xf>
    <xf numFmtId="43" fontId="36" fillId="13" borderId="23" xfId="19" applyFont="1" applyFill="1" applyBorder="1" applyAlignment="1">
      <alignment vertical="center"/>
    </xf>
    <xf numFmtId="0" fontId="36" fillId="13" borderId="21" xfId="8" applyFont="1" applyFill="1" applyBorder="1" applyAlignment="1">
      <alignment horizontal="center" vertical="center"/>
    </xf>
    <xf numFmtId="43" fontId="36" fillId="13" borderId="20" xfId="19" applyFont="1" applyFill="1" applyBorder="1" applyAlignment="1">
      <alignment vertical="center"/>
    </xf>
    <xf numFmtId="43" fontId="36" fillId="13" borderId="22" xfId="19" applyFont="1" applyFill="1" applyBorder="1" applyAlignment="1">
      <alignment vertical="center"/>
    </xf>
    <xf numFmtId="0" fontId="36" fillId="13" borderId="2" xfId="8" applyFont="1" applyFill="1" applyBorder="1" applyAlignment="1">
      <alignment horizontal="center" vertical="center"/>
    </xf>
    <xf numFmtId="43" fontId="37" fillId="7" borderId="32" xfId="19" applyFont="1" applyFill="1" applyBorder="1" applyAlignment="1">
      <alignment vertical="center"/>
    </xf>
    <xf numFmtId="0" fontId="46" fillId="0" borderId="4" xfId="0" applyFont="1" applyFill="1" applyBorder="1" applyAlignment="1">
      <alignment vertical="center" wrapText="1"/>
    </xf>
    <xf numFmtId="49" fontId="28" fillId="11" borderId="19" xfId="11" applyNumberFormat="1" applyFont="1" applyFill="1" applyBorder="1" applyAlignment="1">
      <alignment horizontal="center" vertical="center"/>
    </xf>
    <xf numFmtId="2" fontId="28" fillId="11" borderId="0" xfId="11" applyNumberFormat="1" applyFont="1" applyFill="1" applyBorder="1" applyAlignment="1">
      <alignment horizontal="center" vertical="center" wrapText="1"/>
    </xf>
    <xf numFmtId="2" fontId="30" fillId="11" borderId="0" xfId="11" applyNumberFormat="1" applyFont="1" applyFill="1" applyBorder="1" applyAlignment="1">
      <alignment horizontal="center" vertical="center" wrapText="1"/>
    </xf>
    <xf numFmtId="0" fontId="33" fillId="11" borderId="0" xfId="11" applyFill="1" applyBorder="1" applyAlignment="1"/>
    <xf numFmtId="164" fontId="28" fillId="11" borderId="0" xfId="20" applyFont="1" applyFill="1" applyBorder="1" applyAlignment="1">
      <alignment horizontal="center" vertical="center"/>
    </xf>
    <xf numFmtId="4" fontId="28" fillId="11" borderId="0" xfId="20" applyNumberFormat="1" applyFont="1" applyFill="1" applyBorder="1" applyAlignment="1">
      <alignment horizontal="right" vertical="center"/>
    </xf>
    <xf numFmtId="49" fontId="28" fillId="11" borderId="68" xfId="11" applyNumberFormat="1" applyFont="1" applyFill="1" applyBorder="1" applyAlignment="1">
      <alignment horizontal="center" vertical="center"/>
    </xf>
    <xf numFmtId="2" fontId="28" fillId="11" borderId="60" xfId="11" applyNumberFormat="1" applyFont="1" applyFill="1" applyBorder="1" applyAlignment="1">
      <alignment horizontal="center" vertical="center" wrapText="1"/>
    </xf>
    <xf numFmtId="2" fontId="30" fillId="11" borderId="60" xfId="11" applyNumberFormat="1" applyFont="1" applyFill="1" applyBorder="1" applyAlignment="1">
      <alignment horizontal="center" vertical="center" wrapText="1"/>
    </xf>
    <xf numFmtId="49" fontId="28" fillId="11" borderId="2" xfId="11" applyNumberFormat="1" applyFont="1" applyFill="1" applyBorder="1" applyAlignment="1">
      <alignment horizontal="center" vertical="center"/>
    </xf>
    <xf numFmtId="2" fontId="30" fillId="11" borderId="2" xfId="11" applyNumberFormat="1" applyFont="1" applyFill="1" applyBorder="1" applyAlignment="1">
      <alignment horizontal="center" vertical="center" wrapText="1"/>
    </xf>
    <xf numFmtId="2" fontId="28" fillId="11" borderId="2" xfId="11" applyNumberFormat="1" applyFont="1" applyFill="1" applyBorder="1" applyAlignment="1">
      <alignment horizontal="center" vertical="center" wrapText="1"/>
    </xf>
    <xf numFmtId="49" fontId="28" fillId="11" borderId="20" xfId="11" applyNumberFormat="1" applyFont="1" applyFill="1" applyBorder="1" applyAlignment="1">
      <alignment horizontal="center" vertical="center"/>
    </xf>
    <xf numFmtId="2" fontId="28" fillId="11" borderId="20" xfId="11" applyNumberFormat="1" applyFont="1" applyFill="1" applyBorder="1" applyAlignment="1">
      <alignment horizontal="center" vertical="center" wrapText="1"/>
    </xf>
    <xf numFmtId="43" fontId="38" fillId="11" borderId="42" xfId="19" applyFont="1" applyFill="1" applyBorder="1" applyAlignment="1">
      <alignment horizontal="center" vertical="center"/>
    </xf>
    <xf numFmtId="0" fontId="46" fillId="0" borderId="14" xfId="0" applyFont="1" applyBorder="1" applyAlignment="1">
      <alignment horizontal="center" vertical="center"/>
    </xf>
    <xf numFmtId="0" fontId="46" fillId="11" borderId="2" xfId="0" applyFont="1" applyFill="1" applyBorder="1" applyAlignment="1">
      <alignment horizontal="center" vertical="center"/>
    </xf>
    <xf numFmtId="2" fontId="45" fillId="11" borderId="2" xfId="0" applyNumberFormat="1" applyFont="1" applyFill="1" applyBorder="1" applyAlignment="1">
      <alignment horizontal="right" vertical="center" wrapText="1"/>
    </xf>
    <xf numFmtId="4" fontId="45" fillId="0" borderId="2" xfId="0" applyNumberFormat="1" applyFont="1" applyFill="1" applyBorder="1" applyAlignment="1">
      <alignment horizontal="right" vertical="center" wrapText="1"/>
    </xf>
    <xf numFmtId="43" fontId="36" fillId="5" borderId="2" xfId="19" applyFont="1" applyFill="1" applyBorder="1" applyAlignment="1">
      <alignment horizontal="center" vertical="center"/>
    </xf>
    <xf numFmtId="0" fontId="36" fillId="0" borderId="2" xfId="8" applyFont="1" applyFill="1" applyBorder="1" applyAlignment="1">
      <alignment horizontal="left" vertical="center"/>
    </xf>
    <xf numFmtId="0" fontId="36" fillId="0" borderId="2" xfId="8" applyFont="1" applyFill="1" applyBorder="1" applyAlignment="1">
      <alignment horizontal="center" vertical="center" wrapText="1"/>
    </xf>
    <xf numFmtId="0" fontId="36" fillId="0" borderId="14" xfId="8" applyFont="1" applyFill="1" applyBorder="1" applyAlignment="1">
      <alignment horizontal="center" vertical="center"/>
    </xf>
    <xf numFmtId="0" fontId="43" fillId="0" borderId="2" xfId="0" applyFont="1" applyFill="1" applyBorder="1" applyAlignment="1">
      <alignment horizontal="right" vertical="center" wrapText="1"/>
    </xf>
    <xf numFmtId="43" fontId="36" fillId="0" borderId="2" xfId="19" applyFont="1" applyFill="1" applyBorder="1" applyAlignment="1">
      <alignment horizontal="center" vertical="center" wrapText="1"/>
    </xf>
    <xf numFmtId="0" fontId="36" fillId="0" borderId="14" xfId="8" applyFont="1" applyFill="1" applyBorder="1" applyAlignment="1">
      <alignment horizontal="center" vertical="center" wrapText="1"/>
    </xf>
    <xf numFmtId="0" fontId="36" fillId="0" borderId="14" xfId="8" applyFont="1" applyFill="1" applyBorder="1" applyAlignment="1">
      <alignment horizontal="center" vertical="center"/>
    </xf>
    <xf numFmtId="0" fontId="36" fillId="0" borderId="2" xfId="8" applyFont="1" applyFill="1" applyBorder="1" applyAlignment="1">
      <alignment horizontal="left" vertical="center"/>
    </xf>
    <xf numFmtId="0" fontId="36" fillId="0" borderId="2" xfId="8" applyFont="1" applyFill="1" applyBorder="1" applyAlignment="1">
      <alignment horizontal="left" vertical="center" wrapText="1"/>
    </xf>
    <xf numFmtId="43" fontId="36" fillId="5" borderId="2" xfId="19" applyFont="1" applyFill="1" applyBorder="1" applyAlignment="1">
      <alignment horizontal="center" vertical="center"/>
    </xf>
    <xf numFmtId="0" fontId="36" fillId="0" borderId="5" xfId="8" applyFont="1" applyFill="1" applyBorder="1" applyAlignment="1">
      <alignment horizontal="left" vertical="center" wrapText="1"/>
    </xf>
    <xf numFmtId="43" fontId="36" fillId="0" borderId="2" xfId="19" applyFont="1" applyFill="1" applyBorder="1" applyAlignment="1">
      <alignment horizontal="center" vertical="center"/>
    </xf>
    <xf numFmtId="2" fontId="45" fillId="0" borderId="14" xfId="0" applyNumberFormat="1" applyFont="1" applyFill="1" applyBorder="1" applyAlignment="1">
      <alignment horizontal="right" vertical="center" wrapText="1"/>
    </xf>
    <xf numFmtId="43" fontId="45" fillId="9" borderId="18" xfId="17" applyFont="1" applyFill="1" applyBorder="1" applyAlignment="1">
      <alignment horizontal="center" vertical="center" wrapText="1"/>
    </xf>
    <xf numFmtId="43" fontId="37" fillId="5" borderId="2" xfId="19" applyFont="1" applyFill="1" applyBorder="1" applyAlignment="1">
      <alignment horizontal="center" vertical="center"/>
    </xf>
    <xf numFmtId="0" fontId="36" fillId="0" borderId="2" xfId="8" applyFont="1" applyFill="1" applyBorder="1" applyAlignment="1">
      <alignment horizontal="right" vertical="center" wrapText="1"/>
    </xf>
    <xf numFmtId="2" fontId="36" fillId="0" borderId="2" xfId="8" applyNumberFormat="1" applyFont="1" applyFill="1" applyBorder="1" applyAlignment="1">
      <alignment horizontal="right" vertical="center" wrapText="1"/>
    </xf>
    <xf numFmtId="0" fontId="36" fillId="0" borderId="20" xfId="8" applyFont="1" applyFill="1" applyBorder="1" applyAlignment="1">
      <alignment horizontal="right" vertical="center" wrapText="1"/>
    </xf>
    <xf numFmtId="0" fontId="37" fillId="5" borderId="14" xfId="8" applyFont="1" applyFill="1" applyBorder="1" applyAlignment="1">
      <alignment horizontal="center" vertical="center"/>
    </xf>
    <xf numFmtId="43" fontId="36" fillId="0" borderId="46" xfId="19" applyFont="1" applyFill="1" applyBorder="1" applyAlignment="1">
      <alignment horizontal="left" vertical="center" wrapText="1"/>
    </xf>
    <xf numFmtId="43" fontId="36" fillId="0" borderId="2" xfId="17" applyFont="1" applyFill="1" applyBorder="1" applyAlignment="1">
      <alignment horizontal="center" vertical="center"/>
    </xf>
    <xf numFmtId="0" fontId="43" fillId="0" borderId="2" xfId="0" applyFont="1" applyFill="1" applyBorder="1" applyAlignment="1">
      <alignment horizontal="right" vertical="center" wrapText="1"/>
    </xf>
    <xf numFmtId="0" fontId="20" fillId="0" borderId="3" xfId="6" applyFont="1" applyFill="1" applyBorder="1" applyAlignment="1">
      <alignment horizontal="left" vertical="center"/>
    </xf>
    <xf numFmtId="0" fontId="20" fillId="0" borderId="4" xfId="6" applyFont="1" applyFill="1" applyBorder="1" applyAlignment="1">
      <alignment horizontal="left" vertical="center"/>
    </xf>
    <xf numFmtId="43" fontId="36" fillId="5" borderId="14" xfId="19" applyFont="1" applyFill="1" applyBorder="1" applyAlignment="1">
      <alignment vertical="center" wrapText="1"/>
    </xf>
    <xf numFmtId="0" fontId="36" fillId="5" borderId="14" xfId="8" applyFont="1" applyFill="1" applyBorder="1" applyAlignment="1">
      <alignment horizontal="center" vertical="center"/>
    </xf>
    <xf numFmtId="43" fontId="36" fillId="5" borderId="13" xfId="19" applyFont="1" applyFill="1" applyBorder="1" applyAlignment="1">
      <alignment horizontal="center"/>
    </xf>
    <xf numFmtId="43" fontId="36" fillId="0" borderId="13" xfId="8" applyNumberFormat="1" applyFont="1" applyFill="1" applyBorder="1" applyAlignment="1">
      <alignment vertical="center"/>
    </xf>
    <xf numFmtId="43" fontId="36" fillId="5" borderId="13" xfId="19" applyFont="1" applyFill="1" applyBorder="1" applyAlignment="1">
      <alignment vertical="center"/>
    </xf>
    <xf numFmtId="0" fontId="36" fillId="0" borderId="49" xfId="8" applyFont="1" applyFill="1" applyBorder="1" applyAlignment="1">
      <alignment horizontal="left" vertical="center" wrapText="1"/>
    </xf>
    <xf numFmtId="43" fontId="36" fillId="5" borderId="28" xfId="19" applyFont="1" applyFill="1" applyBorder="1" applyAlignment="1">
      <alignment vertical="center"/>
    </xf>
    <xf numFmtId="43" fontId="37" fillId="5" borderId="26" xfId="19" applyFont="1" applyFill="1" applyBorder="1" applyAlignment="1">
      <alignment vertical="center"/>
    </xf>
    <xf numFmtId="43" fontId="37" fillId="5" borderId="17" xfId="19" applyFont="1" applyFill="1" applyBorder="1" applyAlignment="1">
      <alignment horizontal="left" vertical="center" wrapText="1"/>
    </xf>
    <xf numFmtId="0" fontId="36" fillId="13" borderId="20" xfId="8" applyFont="1" applyFill="1" applyBorder="1" applyAlignment="1">
      <alignment horizontal="center" vertical="center"/>
    </xf>
    <xf numFmtId="0" fontId="50" fillId="0" borderId="2" xfId="0" applyFont="1" applyBorder="1" applyAlignment="1">
      <alignment horizontal="center" vertical="center"/>
    </xf>
    <xf numFmtId="0" fontId="49" fillId="0" borderId="2" xfId="0" applyFont="1" applyFill="1" applyBorder="1" applyAlignment="1">
      <alignment horizontal="center" vertical="center" wrapText="1"/>
    </xf>
    <xf numFmtId="0" fontId="49" fillId="0" borderId="2" xfId="0" applyFont="1" applyFill="1" applyBorder="1" applyAlignment="1">
      <alignment horizontal="right" vertical="center" wrapText="1"/>
    </xf>
    <xf numFmtId="43" fontId="49" fillId="9" borderId="2" xfId="17" applyFont="1" applyFill="1" applyBorder="1" applyAlignment="1">
      <alignment horizontal="center" vertical="center" wrapText="1"/>
    </xf>
    <xf numFmtId="0" fontId="50" fillId="0" borderId="2" xfId="0" applyFont="1" applyBorder="1" applyAlignment="1">
      <alignment horizontal="left" vertical="center" wrapText="1"/>
    </xf>
    <xf numFmtId="0" fontId="36" fillId="0" borderId="47" xfId="8" applyFont="1" applyFill="1" applyBorder="1" applyAlignment="1">
      <alignment horizontal="center" vertical="center"/>
    </xf>
    <xf numFmtId="0" fontId="36" fillId="0" borderId="17" xfId="8" applyFont="1" applyFill="1" applyBorder="1" applyAlignment="1">
      <alignment horizontal="center" vertical="center"/>
    </xf>
    <xf numFmtId="43" fontId="36" fillId="5" borderId="23" xfId="19" applyFont="1" applyFill="1" applyBorder="1" applyAlignment="1">
      <alignment horizontal="center" vertical="center"/>
    </xf>
    <xf numFmtId="0" fontId="43" fillId="0" borderId="16" xfId="0" applyFont="1" applyFill="1" applyBorder="1" applyAlignment="1">
      <alignment horizontal="center" vertical="center"/>
    </xf>
    <xf numFmtId="0" fontId="43" fillId="0" borderId="14" xfId="0" applyFont="1" applyFill="1" applyBorder="1" applyAlignment="1">
      <alignment horizontal="center" vertical="center"/>
    </xf>
    <xf numFmtId="0" fontId="44" fillId="0" borderId="14" xfId="0" applyFont="1" applyFill="1" applyBorder="1" applyAlignment="1">
      <alignment vertical="center" wrapText="1"/>
    </xf>
    <xf numFmtId="0" fontId="43" fillId="0" borderId="14" xfId="0" applyFont="1" applyFill="1" applyBorder="1" applyAlignment="1">
      <alignment horizontal="center" vertical="center" wrapText="1"/>
    </xf>
    <xf numFmtId="0" fontId="43" fillId="0" borderId="17" xfId="0" applyFont="1" applyFill="1" applyBorder="1" applyAlignment="1">
      <alignment horizontal="center" vertical="center" wrapText="1"/>
    </xf>
    <xf numFmtId="0" fontId="43" fillId="0" borderId="28" xfId="0" applyFont="1" applyFill="1" applyBorder="1" applyAlignment="1">
      <alignment horizontal="center" vertical="center" wrapText="1"/>
    </xf>
    <xf numFmtId="0" fontId="43" fillId="9" borderId="18" xfId="0" applyFont="1" applyFill="1" applyBorder="1" applyAlignment="1">
      <alignment horizontal="center" vertical="center" wrapText="1"/>
    </xf>
    <xf numFmtId="0" fontId="45" fillId="0" borderId="25" xfId="0" applyFont="1" applyFill="1" applyBorder="1" applyAlignment="1">
      <alignment horizontal="center" vertical="center"/>
    </xf>
    <xf numFmtId="2" fontId="44" fillId="0" borderId="2" xfId="0" applyNumberFormat="1" applyFont="1" applyFill="1" applyBorder="1" applyAlignment="1">
      <alignment horizontal="center" vertical="center" wrapText="1"/>
    </xf>
    <xf numFmtId="43" fontId="45" fillId="5" borderId="2" xfId="17" applyNumberFormat="1" applyFont="1" applyFill="1" applyBorder="1" applyAlignment="1">
      <alignment vertical="center" wrapText="1"/>
    </xf>
    <xf numFmtId="43" fontId="45" fillId="9" borderId="23" xfId="17" applyFont="1" applyFill="1" applyBorder="1" applyAlignment="1">
      <alignment horizontal="center" vertical="center" wrapText="1"/>
    </xf>
    <xf numFmtId="43" fontId="3" fillId="5" borderId="2" xfId="17" applyNumberFormat="1" applyFont="1" applyFill="1" applyBorder="1" applyAlignment="1">
      <alignment vertical="center" wrapText="1"/>
    </xf>
    <xf numFmtId="43" fontId="36" fillId="5" borderId="22" xfId="19" applyFont="1" applyFill="1" applyBorder="1" applyAlignment="1">
      <alignment horizontal="center" vertical="center"/>
    </xf>
    <xf numFmtId="0" fontId="36" fillId="0" borderId="21" xfId="8" applyFont="1" applyFill="1" applyBorder="1" applyAlignment="1">
      <alignment vertical="center" wrapText="1"/>
    </xf>
    <xf numFmtId="43" fontId="36" fillId="0" borderId="35" xfId="19" applyFont="1" applyFill="1" applyBorder="1" applyAlignment="1">
      <alignment vertical="center"/>
    </xf>
    <xf numFmtId="0" fontId="36" fillId="0" borderId="21" xfId="8" applyFont="1" applyFill="1" applyBorder="1" applyAlignment="1">
      <alignment horizontal="center" vertical="center" wrapText="1"/>
    </xf>
    <xf numFmtId="43" fontId="36" fillId="5" borderId="0" xfId="17" applyFont="1" applyFill="1"/>
    <xf numFmtId="0" fontId="36" fillId="5" borderId="0" xfId="0" applyFont="1" applyFill="1"/>
    <xf numFmtId="0" fontId="3" fillId="5" borderId="25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2" fontId="14" fillId="5" borderId="2" xfId="0" applyNumberFormat="1" applyFont="1" applyFill="1" applyBorder="1" applyAlignment="1">
      <alignment horizontal="center" vertical="center" wrapText="1"/>
    </xf>
    <xf numFmtId="43" fontId="3" fillId="5" borderId="2" xfId="0" applyNumberFormat="1" applyFont="1" applyFill="1" applyBorder="1" applyAlignment="1">
      <alignment horizontal="center" vertical="center" wrapText="1"/>
    </xf>
    <xf numFmtId="43" fontId="3" fillId="5" borderId="2" xfId="17" applyFont="1" applyFill="1" applyBorder="1" applyAlignment="1">
      <alignment horizontal="center" vertical="center" wrapText="1"/>
    </xf>
    <xf numFmtId="2" fontId="3" fillId="5" borderId="2" xfId="0" applyNumberFormat="1" applyFont="1" applyFill="1" applyBorder="1" applyAlignment="1">
      <alignment horizontal="right" vertical="center" wrapText="1"/>
    </xf>
    <xf numFmtId="43" fontId="3" fillId="5" borderId="18" xfId="17" applyFont="1" applyFill="1" applyBorder="1" applyAlignment="1">
      <alignment horizontal="center" vertical="center" wrapText="1"/>
    </xf>
    <xf numFmtId="43" fontId="38" fillId="5" borderId="13" xfId="19" applyFont="1" applyFill="1" applyBorder="1" applyAlignment="1">
      <alignment horizontal="center" vertical="center"/>
    </xf>
    <xf numFmtId="0" fontId="36" fillId="5" borderId="2" xfId="8" applyFont="1" applyFill="1" applyBorder="1" applyAlignment="1">
      <alignment horizontal="left" vertical="center" wrapText="1"/>
    </xf>
    <xf numFmtId="0" fontId="36" fillId="5" borderId="0" xfId="8" applyFont="1" applyFill="1" applyBorder="1" applyAlignment="1"/>
    <xf numFmtId="171" fontId="20" fillId="0" borderId="2" xfId="6" applyNumberFormat="1" applyFont="1" applyFill="1" applyBorder="1" applyAlignment="1">
      <alignment vertical="center"/>
    </xf>
    <xf numFmtId="0" fontId="59" fillId="0" borderId="2" xfId="0" applyFont="1" applyFill="1" applyBorder="1" applyAlignment="1">
      <alignment horizontal="center" vertical="center" wrapText="1"/>
    </xf>
    <xf numFmtId="0" fontId="60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2" fontId="59" fillId="0" borderId="2" xfId="0" applyNumberFormat="1" applyFont="1" applyFill="1" applyBorder="1" applyAlignment="1">
      <alignment horizontal="right" vertical="center" wrapText="1"/>
    </xf>
    <xf numFmtId="0" fontId="59" fillId="0" borderId="2" xfId="0" applyFont="1" applyFill="1" applyBorder="1" applyAlignment="1">
      <alignment horizontal="right" vertical="center" wrapText="1"/>
    </xf>
    <xf numFmtId="0" fontId="59" fillId="0" borderId="2" xfId="0" applyFont="1" applyFill="1" applyBorder="1" applyAlignment="1">
      <alignment horizontal="left" vertical="center" wrapText="1"/>
    </xf>
    <xf numFmtId="0" fontId="60" fillId="0" borderId="2" xfId="0" applyFont="1" applyFill="1" applyBorder="1" applyAlignment="1">
      <alignment horizontal="center" vertical="center"/>
    </xf>
    <xf numFmtId="0" fontId="60" fillId="0" borderId="2" xfId="0" applyFont="1" applyFill="1" applyBorder="1" applyAlignment="1">
      <alignment horizontal="right" vertical="center" wrapText="1"/>
    </xf>
    <xf numFmtId="0" fontId="10" fillId="0" borderId="2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61" fillId="0" borderId="2" xfId="0" applyFont="1" applyBorder="1" applyAlignment="1">
      <alignment wrapText="1"/>
    </xf>
    <xf numFmtId="0" fontId="43" fillId="0" borderId="2" xfId="0" applyFont="1" applyBorder="1" applyAlignment="1">
      <alignment vertical="center" wrapText="1"/>
    </xf>
    <xf numFmtId="0" fontId="59" fillId="0" borderId="0" xfId="0" applyFont="1" applyAlignment="1">
      <alignment wrapText="1"/>
    </xf>
    <xf numFmtId="43" fontId="0" fillId="0" borderId="0" xfId="0" applyNumberFormat="1"/>
    <xf numFmtId="173" fontId="0" fillId="0" borderId="2" xfId="0" applyNumberFormat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59" fillId="0" borderId="2" xfId="0" applyFont="1" applyBorder="1" applyAlignment="1">
      <alignment horizontal="center" vertical="center"/>
    </xf>
    <xf numFmtId="0" fontId="59" fillId="0" borderId="2" xfId="0" applyFont="1" applyBorder="1" applyAlignment="1">
      <alignment wrapText="1"/>
    </xf>
    <xf numFmtId="0" fontId="55" fillId="0" borderId="0" xfId="0" applyFont="1" applyAlignment="1">
      <alignment horizontal="center" vertical="center"/>
    </xf>
    <xf numFmtId="0" fontId="13" fillId="5" borderId="39" xfId="6" applyFont="1" applyFill="1" applyBorder="1" applyAlignment="1">
      <alignment horizontal="center"/>
    </xf>
    <xf numFmtId="0" fontId="13" fillId="5" borderId="56" xfId="6" applyFont="1" applyFill="1" applyBorder="1" applyAlignment="1">
      <alignment horizontal="center"/>
    </xf>
    <xf numFmtId="0" fontId="13" fillId="5" borderId="29" xfId="6" applyFont="1" applyFill="1" applyBorder="1" applyAlignment="1">
      <alignment horizontal="center"/>
    </xf>
    <xf numFmtId="0" fontId="3" fillId="0" borderId="69" xfId="6" applyFont="1" applyBorder="1" applyAlignment="1">
      <alignment horizontal="center" vertical="top" wrapText="1"/>
    </xf>
    <xf numFmtId="0" fontId="3" fillId="0" borderId="70" xfId="6" applyBorder="1" applyAlignment="1">
      <alignment horizontal="center" vertical="top"/>
    </xf>
    <xf numFmtId="0" fontId="3" fillId="0" borderId="71" xfId="6" applyBorder="1" applyAlignment="1">
      <alignment horizontal="center" vertical="top"/>
    </xf>
    <xf numFmtId="0" fontId="3" fillId="0" borderId="6" xfId="6" applyBorder="1" applyAlignment="1">
      <alignment horizontal="center" vertical="top"/>
    </xf>
    <xf numFmtId="0" fontId="3" fillId="0" borderId="0" xfId="6" applyBorder="1" applyAlignment="1">
      <alignment horizontal="center" vertical="top"/>
    </xf>
    <xf numFmtId="0" fontId="3" fillId="0" borderId="7" xfId="6" applyBorder="1" applyAlignment="1">
      <alignment horizontal="center" vertical="top"/>
    </xf>
    <xf numFmtId="0" fontId="3" fillId="0" borderId="8" xfId="6" applyBorder="1" applyAlignment="1">
      <alignment horizontal="center" vertical="top"/>
    </xf>
    <xf numFmtId="0" fontId="3" fillId="0" borderId="9" xfId="6" applyBorder="1" applyAlignment="1">
      <alignment horizontal="center" vertical="top"/>
    </xf>
    <xf numFmtId="0" fontId="3" fillId="0" borderId="10" xfId="6" applyBorder="1" applyAlignment="1">
      <alignment horizontal="center" vertical="top"/>
    </xf>
    <xf numFmtId="0" fontId="13" fillId="5" borderId="69" xfId="6" applyFont="1" applyFill="1" applyBorder="1" applyAlignment="1">
      <alignment horizontal="center" vertical="center"/>
    </xf>
    <xf numFmtId="0" fontId="13" fillId="5" borderId="70" xfId="6" applyFont="1" applyFill="1" applyBorder="1" applyAlignment="1">
      <alignment horizontal="center" vertical="center"/>
    </xf>
    <xf numFmtId="0" fontId="13" fillId="5" borderId="71" xfId="6" applyFont="1" applyFill="1" applyBorder="1" applyAlignment="1">
      <alignment horizontal="center" vertical="center"/>
    </xf>
    <xf numFmtId="0" fontId="10" fillId="5" borderId="6" xfId="6" applyFont="1" applyFill="1" applyBorder="1" applyAlignment="1">
      <alignment horizontal="center"/>
    </xf>
    <xf numFmtId="0" fontId="10" fillId="5" borderId="0" xfId="6" applyFont="1" applyFill="1" applyBorder="1" applyAlignment="1">
      <alignment horizontal="center"/>
    </xf>
    <xf numFmtId="0" fontId="10" fillId="5" borderId="7" xfId="6" applyFont="1" applyFill="1" applyBorder="1" applyAlignment="1">
      <alignment horizontal="center"/>
    </xf>
    <xf numFmtId="0" fontId="3" fillId="5" borderId="69" xfId="6" applyFont="1" applyFill="1" applyBorder="1" applyAlignment="1">
      <alignment horizontal="center"/>
    </xf>
    <xf numFmtId="0" fontId="3" fillId="5" borderId="70" xfId="6" applyFont="1" applyFill="1" applyBorder="1" applyAlignment="1">
      <alignment horizontal="center"/>
    </xf>
    <xf numFmtId="0" fontId="3" fillId="5" borderId="71" xfId="6" applyFont="1" applyFill="1" applyBorder="1" applyAlignment="1">
      <alignment horizontal="center"/>
    </xf>
    <xf numFmtId="0" fontId="3" fillId="5" borderId="6" xfId="6" applyFont="1" applyFill="1" applyBorder="1" applyAlignment="1">
      <alignment horizontal="center"/>
    </xf>
    <xf numFmtId="0" fontId="3" fillId="5" borderId="0" xfId="6" applyFont="1" applyFill="1" applyBorder="1" applyAlignment="1">
      <alignment horizontal="center"/>
    </xf>
    <xf numFmtId="0" fontId="3" fillId="5" borderId="7" xfId="6" applyFont="1" applyFill="1" applyBorder="1" applyAlignment="1">
      <alignment horizontal="center"/>
    </xf>
    <xf numFmtId="0" fontId="3" fillId="5" borderId="8" xfId="6" applyFont="1" applyFill="1" applyBorder="1" applyAlignment="1">
      <alignment horizontal="center"/>
    </xf>
    <xf numFmtId="0" fontId="3" fillId="5" borderId="9" xfId="6" applyFont="1" applyFill="1" applyBorder="1" applyAlignment="1">
      <alignment horizontal="center"/>
    </xf>
    <xf numFmtId="0" fontId="3" fillId="5" borderId="10" xfId="6" applyFont="1" applyFill="1" applyBorder="1" applyAlignment="1">
      <alignment horizontal="center"/>
    </xf>
    <xf numFmtId="0" fontId="57" fillId="9" borderId="72" xfId="0" applyFont="1" applyFill="1" applyBorder="1" applyAlignment="1">
      <alignment horizontal="left" vertical="center" wrapText="1"/>
    </xf>
    <xf numFmtId="0" fontId="57" fillId="9" borderId="70" xfId="0" applyFont="1" applyFill="1" applyBorder="1" applyAlignment="1">
      <alignment horizontal="left" vertical="center" wrapText="1"/>
    </xf>
    <xf numFmtId="0" fontId="57" fillId="9" borderId="73" xfId="0" applyFont="1" applyFill="1" applyBorder="1" applyAlignment="1">
      <alignment horizontal="left" vertical="center" wrapText="1"/>
    </xf>
    <xf numFmtId="0" fontId="57" fillId="9" borderId="28" xfId="0" applyFont="1" applyFill="1" applyBorder="1" applyAlignment="1">
      <alignment horizontal="left" vertical="center" wrapText="1"/>
    </xf>
    <xf numFmtId="0" fontId="57" fillId="9" borderId="50" xfId="0" applyFont="1" applyFill="1" applyBorder="1" applyAlignment="1">
      <alignment horizontal="left" vertical="center" wrapText="1"/>
    </xf>
    <xf numFmtId="0" fontId="57" fillId="9" borderId="26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right" vertical="center" wrapText="1"/>
    </xf>
    <xf numFmtId="0" fontId="14" fillId="0" borderId="4" xfId="0" applyFont="1" applyFill="1" applyBorder="1" applyAlignment="1">
      <alignment horizontal="right" vertical="center" wrapText="1"/>
    </xf>
    <xf numFmtId="0" fontId="14" fillId="0" borderId="5" xfId="0" applyFont="1" applyFill="1" applyBorder="1" applyAlignment="1">
      <alignment horizontal="right" vertical="center" wrapText="1"/>
    </xf>
    <xf numFmtId="0" fontId="43" fillId="0" borderId="3" xfId="0" applyFont="1" applyFill="1" applyBorder="1" applyAlignment="1">
      <alignment horizontal="right" vertical="center" wrapText="1"/>
    </xf>
    <xf numFmtId="0" fontId="43" fillId="0" borderId="4" xfId="0" applyFont="1" applyFill="1" applyBorder="1" applyAlignment="1">
      <alignment horizontal="right" vertical="center" wrapText="1"/>
    </xf>
    <xf numFmtId="0" fontId="43" fillId="0" borderId="5" xfId="0" applyFont="1" applyFill="1" applyBorder="1" applyAlignment="1">
      <alignment horizontal="right" vertical="center" wrapText="1"/>
    </xf>
    <xf numFmtId="0" fontId="43" fillId="9" borderId="45" xfId="0" applyFont="1" applyFill="1" applyBorder="1" applyAlignment="1">
      <alignment horizontal="right" vertical="center" wrapText="1"/>
    </xf>
    <xf numFmtId="0" fontId="36" fillId="0" borderId="56" xfId="0" applyFont="1" applyBorder="1"/>
    <xf numFmtId="0" fontId="36" fillId="0" borderId="29" xfId="0" applyFont="1" applyBorder="1"/>
    <xf numFmtId="0" fontId="43" fillId="0" borderId="36" xfId="0" applyFont="1" applyFill="1" applyBorder="1" applyAlignment="1">
      <alignment horizontal="right" vertical="center" wrapText="1"/>
    </xf>
    <xf numFmtId="0" fontId="43" fillId="0" borderId="37" xfId="0" applyFont="1" applyFill="1" applyBorder="1" applyAlignment="1">
      <alignment horizontal="right" vertical="center" wrapText="1"/>
    </xf>
    <xf numFmtId="0" fontId="43" fillId="0" borderId="35" xfId="0" applyFont="1" applyFill="1" applyBorder="1" applyAlignment="1">
      <alignment horizontal="right" vertical="center" wrapText="1"/>
    </xf>
    <xf numFmtId="0" fontId="43" fillId="0" borderId="3" xfId="0" applyFont="1" applyBorder="1" applyAlignment="1">
      <alignment horizontal="center" vertical="center"/>
    </xf>
    <xf numFmtId="0" fontId="43" fillId="0" borderId="5" xfId="0" applyFont="1" applyBorder="1" applyAlignment="1">
      <alignment horizontal="center" vertical="center"/>
    </xf>
    <xf numFmtId="0" fontId="5" fillId="0" borderId="37" xfId="7" applyFont="1" applyFill="1" applyBorder="1" applyAlignment="1">
      <alignment horizontal="center" vertical="center" wrapText="1"/>
    </xf>
    <xf numFmtId="0" fontId="5" fillId="0" borderId="35" xfId="7" applyFont="1" applyFill="1" applyBorder="1" applyAlignment="1">
      <alignment horizontal="center" vertical="center" wrapText="1"/>
    </xf>
    <xf numFmtId="0" fontId="5" fillId="0" borderId="0" xfId="7" applyFont="1" applyFill="1" applyBorder="1" applyAlignment="1">
      <alignment horizontal="center" vertical="center" wrapText="1"/>
    </xf>
    <xf numFmtId="0" fontId="5" fillId="0" borderId="47" xfId="7" applyFont="1" applyFill="1" applyBorder="1" applyAlignment="1">
      <alignment horizontal="center" vertical="center" wrapText="1"/>
    </xf>
    <xf numFmtId="0" fontId="5" fillId="0" borderId="50" xfId="7" applyFont="1" applyFill="1" applyBorder="1" applyAlignment="1">
      <alignment horizontal="center" vertical="center" wrapText="1"/>
    </xf>
    <xf numFmtId="0" fontId="5" fillId="0" borderId="26" xfId="7" applyFont="1" applyFill="1" applyBorder="1" applyAlignment="1">
      <alignment horizontal="center" vertical="center" wrapText="1"/>
    </xf>
    <xf numFmtId="0" fontId="5" fillId="0" borderId="36" xfId="7" applyFont="1" applyFill="1" applyBorder="1" applyAlignment="1">
      <alignment horizontal="center" vertical="center" wrapText="1"/>
    </xf>
    <xf numFmtId="0" fontId="5" fillId="0" borderId="46" xfId="7" applyFont="1" applyFill="1" applyBorder="1" applyAlignment="1">
      <alignment horizontal="center" vertical="center" wrapText="1"/>
    </xf>
    <xf numFmtId="0" fontId="5" fillId="0" borderId="28" xfId="7" applyFont="1" applyFill="1" applyBorder="1" applyAlignment="1">
      <alignment horizontal="center" vertical="center" wrapText="1"/>
    </xf>
    <xf numFmtId="0" fontId="43" fillId="0" borderId="2" xfId="0" applyFont="1" applyFill="1" applyBorder="1" applyAlignment="1">
      <alignment horizontal="right" vertical="center" wrapText="1"/>
    </xf>
    <xf numFmtId="0" fontId="4" fillId="0" borderId="36" xfId="7" applyFont="1" applyFill="1" applyBorder="1" applyAlignment="1">
      <alignment horizontal="center" vertical="center"/>
    </xf>
    <xf numFmtId="0" fontId="4" fillId="0" borderId="35" xfId="7" applyFont="1" applyFill="1" applyBorder="1" applyAlignment="1">
      <alignment horizontal="center" vertical="center"/>
    </xf>
    <xf numFmtId="0" fontId="4" fillId="0" borderId="46" xfId="7" applyFont="1" applyFill="1" applyBorder="1" applyAlignment="1">
      <alignment horizontal="center" vertical="center"/>
    </xf>
    <xf numFmtId="0" fontId="4" fillId="0" borderId="47" xfId="7" applyFont="1" applyFill="1" applyBorder="1" applyAlignment="1">
      <alignment horizontal="center" vertical="center"/>
    </xf>
    <xf numFmtId="0" fontId="4" fillId="0" borderId="28" xfId="7" applyFont="1" applyFill="1" applyBorder="1" applyAlignment="1">
      <alignment horizontal="center" vertical="center"/>
    </xf>
    <xf numFmtId="0" fontId="4" fillId="0" borderId="26" xfId="7" applyFont="1" applyFill="1" applyBorder="1" applyAlignment="1">
      <alignment horizontal="center" vertical="center"/>
    </xf>
    <xf numFmtId="0" fontId="6" fillId="0" borderId="2" xfId="7" applyFont="1" applyFill="1" applyBorder="1" applyAlignment="1">
      <alignment horizontal="left" vertical="center"/>
    </xf>
    <xf numFmtId="0" fontId="7" fillId="0" borderId="2" xfId="7" applyFont="1" applyFill="1" applyBorder="1" applyAlignment="1">
      <alignment horizontal="left" vertical="center"/>
    </xf>
    <xf numFmtId="0" fontId="35" fillId="5" borderId="20" xfId="0" applyFont="1" applyFill="1" applyBorder="1" applyAlignment="1">
      <alignment horizontal="left" vertical="center" wrapText="1"/>
    </xf>
    <xf numFmtId="0" fontId="6" fillId="0" borderId="74" xfId="6" applyFont="1" applyFill="1" applyBorder="1" applyAlignment="1">
      <alignment horizontal="left" vertical="center"/>
    </xf>
    <xf numFmtId="0" fontId="6" fillId="0" borderId="4" xfId="6" applyFont="1" applyFill="1" applyBorder="1" applyAlignment="1">
      <alignment horizontal="left" vertical="center"/>
    </xf>
    <xf numFmtId="0" fontId="6" fillId="0" borderId="5" xfId="6" applyFont="1" applyFill="1" applyBorder="1" applyAlignment="1">
      <alignment horizontal="left" vertical="center"/>
    </xf>
    <xf numFmtId="0" fontId="5" fillId="0" borderId="0" xfId="6" applyFont="1" applyFill="1" applyBorder="1" applyAlignment="1">
      <alignment horizontal="center" vertical="center"/>
    </xf>
    <xf numFmtId="0" fontId="4" fillId="0" borderId="36" xfId="6" applyFont="1" applyFill="1" applyBorder="1" applyAlignment="1">
      <alignment horizontal="center" vertical="center"/>
    </xf>
    <xf numFmtId="0" fontId="4" fillId="0" borderId="35" xfId="6" applyFont="1" applyFill="1" applyBorder="1" applyAlignment="1">
      <alignment horizontal="center" vertical="center"/>
    </xf>
    <xf numFmtId="0" fontId="4" fillId="0" borderId="46" xfId="6" applyFont="1" applyFill="1" applyBorder="1" applyAlignment="1">
      <alignment horizontal="center" vertical="center"/>
    </xf>
    <xf numFmtId="0" fontId="4" fillId="0" borderId="47" xfId="6" applyFont="1" applyFill="1" applyBorder="1" applyAlignment="1">
      <alignment horizontal="center" vertical="center"/>
    </xf>
    <xf numFmtId="0" fontId="4" fillId="0" borderId="28" xfId="6" applyFont="1" applyFill="1" applyBorder="1" applyAlignment="1">
      <alignment horizontal="center" vertical="center"/>
    </xf>
    <xf numFmtId="0" fontId="4" fillId="0" borderId="26" xfId="6" applyFont="1" applyFill="1" applyBorder="1" applyAlignment="1">
      <alignment horizontal="center" vertical="center"/>
    </xf>
    <xf numFmtId="0" fontId="5" fillId="0" borderId="36" xfId="6" applyFont="1" applyFill="1" applyBorder="1" applyAlignment="1">
      <alignment horizontal="center" vertical="center"/>
    </xf>
    <xf numFmtId="0" fontId="5" fillId="0" borderId="35" xfId="6" applyFont="1" applyFill="1" applyBorder="1" applyAlignment="1">
      <alignment horizontal="center" vertical="center"/>
    </xf>
    <xf numFmtId="0" fontId="5" fillId="0" borderId="46" xfId="6" applyFont="1" applyFill="1" applyBorder="1" applyAlignment="1">
      <alignment horizontal="center" vertical="center"/>
    </xf>
    <xf numFmtId="0" fontId="5" fillId="0" borderId="47" xfId="6" applyFont="1" applyFill="1" applyBorder="1" applyAlignment="1">
      <alignment horizontal="center" vertical="center"/>
    </xf>
    <xf numFmtId="0" fontId="5" fillId="0" borderId="28" xfId="6" applyFont="1" applyFill="1" applyBorder="1" applyAlignment="1">
      <alignment horizontal="center" vertical="center"/>
    </xf>
    <xf numFmtId="0" fontId="5" fillId="0" borderId="26" xfId="6" applyFont="1" applyFill="1" applyBorder="1" applyAlignment="1">
      <alignment horizontal="center" vertical="center"/>
    </xf>
    <xf numFmtId="0" fontId="24" fillId="0" borderId="36" xfId="6" applyFont="1" applyFill="1" applyBorder="1" applyAlignment="1">
      <alignment horizontal="center" vertical="center" wrapText="1"/>
    </xf>
    <xf numFmtId="0" fontId="5" fillId="0" borderId="37" xfId="6" applyFont="1" applyFill="1" applyBorder="1" applyAlignment="1">
      <alignment horizontal="center" vertical="center"/>
    </xf>
    <xf numFmtId="0" fontId="5" fillId="0" borderId="50" xfId="6" applyFont="1" applyFill="1" applyBorder="1" applyAlignment="1">
      <alignment horizontal="center" vertical="center"/>
    </xf>
    <xf numFmtId="43" fontId="0" fillId="0" borderId="20" xfId="0" applyNumberFormat="1" applyBorder="1" applyAlignment="1">
      <alignment horizontal="center" vertical="center"/>
    </xf>
    <xf numFmtId="7" fontId="0" fillId="0" borderId="14" xfId="0" applyNumberFormat="1" applyBorder="1" applyAlignment="1">
      <alignment horizontal="center" vertical="center"/>
    </xf>
    <xf numFmtId="0" fontId="4" fillId="0" borderId="20" xfId="7" applyFont="1" applyBorder="1" applyAlignment="1">
      <alignment horizontal="center" vertical="center"/>
    </xf>
    <xf numFmtId="0" fontId="4" fillId="0" borderId="14" xfId="7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2" xfId="7" applyFont="1" applyBorder="1" applyAlignment="1">
      <alignment horizontal="center" vertical="center"/>
    </xf>
    <xf numFmtId="0" fontId="7" fillId="0" borderId="2" xfId="6" applyFont="1" applyFill="1" applyBorder="1" applyAlignment="1">
      <alignment horizontal="left" vertical="center"/>
    </xf>
    <xf numFmtId="0" fontId="35" fillId="5" borderId="2" xfId="0" applyFont="1" applyFill="1" applyBorder="1" applyAlignment="1">
      <alignment horizontal="left" vertical="center" wrapText="1"/>
    </xf>
    <xf numFmtId="0" fontId="13" fillId="0" borderId="2" xfId="9" applyFont="1" applyFill="1" applyBorder="1" applyAlignment="1">
      <alignment horizontal="center" vertical="center"/>
    </xf>
    <xf numFmtId="0" fontId="5" fillId="0" borderId="2" xfId="7" applyFont="1" applyBorder="1" applyAlignment="1">
      <alignment horizontal="center" vertical="center"/>
    </xf>
    <xf numFmtId="0" fontId="5" fillId="0" borderId="2" xfId="7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/>
    </xf>
    <xf numFmtId="43" fontId="34" fillId="0" borderId="20" xfId="0" applyNumberFormat="1" applyFont="1" applyBorder="1" applyAlignment="1">
      <alignment horizontal="center" vertical="center"/>
    </xf>
    <xf numFmtId="7" fontId="34" fillId="0" borderId="14" xfId="0" applyNumberFormat="1" applyFont="1" applyBorder="1" applyAlignment="1">
      <alignment horizontal="center" vertical="center"/>
    </xf>
    <xf numFmtId="43" fontId="0" fillId="0" borderId="14" xfId="0" applyNumberFormat="1" applyBorder="1" applyAlignment="1">
      <alignment horizontal="center" vertical="center"/>
    </xf>
    <xf numFmtId="43" fontId="36" fillId="0" borderId="3" xfId="19" applyFont="1" applyFill="1" applyBorder="1" applyAlignment="1">
      <alignment horizontal="center" vertical="center" wrapText="1"/>
    </xf>
    <xf numFmtId="43" fontId="36" fillId="0" borderId="5" xfId="19" applyFont="1" applyFill="1" applyBorder="1" applyAlignment="1">
      <alignment horizontal="center" vertical="center" wrapText="1"/>
    </xf>
    <xf numFmtId="43" fontId="36" fillId="0" borderId="48" xfId="19" applyFont="1" applyFill="1" applyBorder="1" applyAlignment="1">
      <alignment horizontal="center" vertical="center" wrapText="1"/>
    </xf>
    <xf numFmtId="43" fontId="36" fillId="0" borderId="49" xfId="19" applyFont="1" applyFill="1" applyBorder="1" applyAlignment="1">
      <alignment horizontal="center" vertical="center" wrapText="1"/>
    </xf>
    <xf numFmtId="43" fontId="36" fillId="0" borderId="2" xfId="19" applyFont="1" applyFill="1" applyBorder="1" applyAlignment="1">
      <alignment horizontal="center" vertical="center" wrapText="1"/>
    </xf>
    <xf numFmtId="43" fontId="38" fillId="7" borderId="13" xfId="19" applyFont="1" applyFill="1" applyBorder="1" applyAlignment="1">
      <alignment horizontal="left" vertical="center" wrapText="1"/>
    </xf>
    <xf numFmtId="43" fontId="36" fillId="5" borderId="45" xfId="19" applyFont="1" applyFill="1" applyBorder="1" applyAlignment="1">
      <alignment horizontal="center" vertical="center"/>
    </xf>
    <xf numFmtId="43" fontId="36" fillId="5" borderId="56" xfId="19" applyFont="1" applyFill="1" applyBorder="1" applyAlignment="1">
      <alignment horizontal="center" vertical="center"/>
    </xf>
    <xf numFmtId="43" fontId="36" fillId="5" borderId="33" xfId="19" applyFont="1" applyFill="1" applyBorder="1" applyAlignment="1">
      <alignment horizontal="center" vertical="center"/>
    </xf>
    <xf numFmtId="43" fontId="38" fillId="13" borderId="13" xfId="19" applyFont="1" applyFill="1" applyBorder="1" applyAlignment="1">
      <alignment horizontal="left" vertical="center" wrapText="1"/>
    </xf>
    <xf numFmtId="43" fontId="36" fillId="13" borderId="45" xfId="19" applyFont="1" applyFill="1" applyBorder="1" applyAlignment="1">
      <alignment horizontal="center" vertical="center"/>
    </xf>
    <xf numFmtId="43" fontId="36" fillId="13" borderId="56" xfId="19" applyFont="1" applyFill="1" applyBorder="1" applyAlignment="1">
      <alignment horizontal="center" vertical="center"/>
    </xf>
    <xf numFmtId="43" fontId="36" fillId="13" borderId="33" xfId="19" applyFont="1" applyFill="1" applyBorder="1" applyAlignment="1">
      <alignment horizontal="center" vertical="center"/>
    </xf>
    <xf numFmtId="43" fontId="36" fillId="13" borderId="72" xfId="19" applyFont="1" applyFill="1" applyBorder="1" applyAlignment="1">
      <alignment horizontal="center" vertical="center"/>
    </xf>
    <xf numFmtId="43" fontId="36" fillId="13" borderId="70" xfId="19" applyFont="1" applyFill="1" applyBorder="1" applyAlignment="1">
      <alignment horizontal="center" vertical="center"/>
    </xf>
    <xf numFmtId="43" fontId="36" fillId="13" borderId="73" xfId="19" applyFont="1" applyFill="1" applyBorder="1" applyAlignment="1">
      <alignment horizontal="center" vertical="center"/>
    </xf>
    <xf numFmtId="43" fontId="37" fillId="6" borderId="13" xfId="19" applyFont="1" applyFill="1" applyBorder="1" applyAlignment="1">
      <alignment horizontal="left" vertical="center"/>
    </xf>
    <xf numFmtId="43" fontId="37" fillId="6" borderId="12" xfId="19" applyFont="1" applyFill="1" applyBorder="1" applyAlignment="1">
      <alignment horizontal="left" vertical="center"/>
    </xf>
    <xf numFmtId="0" fontId="36" fillId="0" borderId="36" xfId="8" applyFont="1" applyFill="1" applyBorder="1" applyAlignment="1">
      <alignment horizontal="left" vertical="center" wrapText="1"/>
    </xf>
    <xf numFmtId="0" fontId="36" fillId="0" borderId="37" xfId="8" applyFont="1" applyFill="1" applyBorder="1" applyAlignment="1">
      <alignment horizontal="left" vertical="center" wrapText="1"/>
    </xf>
    <xf numFmtId="0" fontId="36" fillId="0" borderId="35" xfId="8" applyFont="1" applyFill="1" applyBorder="1" applyAlignment="1">
      <alignment horizontal="left" vertical="center" wrapText="1"/>
    </xf>
    <xf numFmtId="0" fontId="38" fillId="5" borderId="45" xfId="8" applyFont="1" applyFill="1" applyBorder="1" applyAlignment="1">
      <alignment horizontal="left" vertical="center" wrapText="1"/>
    </xf>
    <xf numFmtId="0" fontId="38" fillId="5" borderId="56" xfId="8" applyFont="1" applyFill="1" applyBorder="1" applyAlignment="1">
      <alignment horizontal="left" vertical="center" wrapText="1"/>
    </xf>
    <xf numFmtId="0" fontId="38" fillId="5" borderId="33" xfId="8" applyFont="1" applyFill="1" applyBorder="1" applyAlignment="1">
      <alignment horizontal="left" vertical="center" wrapText="1"/>
    </xf>
    <xf numFmtId="43" fontId="37" fillId="6" borderId="45" xfId="19" applyFont="1" applyFill="1" applyBorder="1" applyAlignment="1">
      <alignment horizontal="left" vertical="center"/>
    </xf>
    <xf numFmtId="43" fontId="37" fillId="6" borderId="56" xfId="19" applyFont="1" applyFill="1" applyBorder="1" applyAlignment="1">
      <alignment horizontal="left" vertical="center"/>
    </xf>
    <xf numFmtId="43" fontId="37" fillId="6" borderId="29" xfId="19" applyFont="1" applyFill="1" applyBorder="1" applyAlignment="1">
      <alignment horizontal="left" vertical="center"/>
    </xf>
    <xf numFmtId="43" fontId="38" fillId="7" borderId="45" xfId="19" applyFont="1" applyFill="1" applyBorder="1" applyAlignment="1">
      <alignment horizontal="left" vertical="center" wrapText="1"/>
    </xf>
    <xf numFmtId="43" fontId="38" fillId="7" borderId="56" xfId="19" applyFont="1" applyFill="1" applyBorder="1" applyAlignment="1">
      <alignment horizontal="left" vertical="center" wrapText="1"/>
    </xf>
    <xf numFmtId="43" fontId="38" fillId="7" borderId="33" xfId="19" applyFont="1" applyFill="1" applyBorder="1" applyAlignment="1">
      <alignment horizontal="left" vertical="center" wrapText="1"/>
    </xf>
    <xf numFmtId="0" fontId="38" fillId="7" borderId="45" xfId="8" applyFont="1" applyFill="1" applyBorder="1" applyAlignment="1">
      <alignment horizontal="left" vertical="top" wrapText="1"/>
    </xf>
    <xf numFmtId="0" fontId="38" fillId="7" borderId="56" xfId="8" applyFont="1" applyFill="1" applyBorder="1" applyAlignment="1">
      <alignment horizontal="left" vertical="top" wrapText="1"/>
    </xf>
    <xf numFmtId="0" fontId="38" fillId="7" borderId="33" xfId="8" applyFont="1" applyFill="1" applyBorder="1" applyAlignment="1">
      <alignment horizontal="left" vertical="top" wrapText="1"/>
    </xf>
    <xf numFmtId="0" fontId="36" fillId="0" borderId="48" xfId="8" applyFont="1" applyFill="1" applyBorder="1" applyAlignment="1">
      <alignment horizontal="center" vertical="center" wrapText="1"/>
    </xf>
    <xf numFmtId="0" fontId="36" fillId="0" borderId="49" xfId="8" applyFont="1" applyFill="1" applyBorder="1" applyAlignment="1">
      <alignment horizontal="center" vertical="center" wrapText="1"/>
    </xf>
    <xf numFmtId="0" fontId="36" fillId="0" borderId="43" xfId="8" applyFont="1" applyFill="1" applyBorder="1" applyAlignment="1">
      <alignment horizontal="center" vertical="center"/>
    </xf>
    <xf numFmtId="0" fontId="36" fillId="0" borderId="76" xfId="8" applyFont="1" applyFill="1" applyBorder="1" applyAlignment="1">
      <alignment horizontal="center" vertical="center"/>
    </xf>
    <xf numFmtId="0" fontId="36" fillId="0" borderId="48" xfId="8" applyFont="1" applyFill="1" applyBorder="1" applyAlignment="1">
      <alignment horizontal="left" vertical="center" wrapText="1"/>
    </xf>
    <xf numFmtId="0" fontId="36" fillId="0" borderId="49" xfId="8" applyFont="1" applyFill="1" applyBorder="1" applyAlignment="1">
      <alignment horizontal="left" vertical="center" wrapText="1"/>
    </xf>
    <xf numFmtId="0" fontId="36" fillId="0" borderId="38" xfId="8" applyFont="1" applyFill="1" applyBorder="1" applyAlignment="1">
      <alignment horizontal="left" vertical="center" wrapText="1"/>
    </xf>
    <xf numFmtId="0" fontId="53" fillId="0" borderId="17" xfId="8" applyFont="1" applyFill="1" applyBorder="1" applyAlignment="1">
      <alignment horizontal="center" vertical="center" wrapText="1"/>
    </xf>
    <xf numFmtId="0" fontId="53" fillId="0" borderId="14" xfId="8" applyFont="1" applyFill="1" applyBorder="1" applyAlignment="1">
      <alignment horizontal="center" vertical="center" wrapText="1"/>
    </xf>
    <xf numFmtId="43" fontId="38" fillId="11" borderId="13" xfId="19" applyFont="1" applyFill="1" applyBorder="1" applyAlignment="1">
      <alignment horizontal="left" vertical="center" wrapText="1"/>
    </xf>
    <xf numFmtId="43" fontId="36" fillId="11" borderId="45" xfId="19" applyFont="1" applyFill="1" applyBorder="1" applyAlignment="1">
      <alignment horizontal="center" vertical="center"/>
    </xf>
    <xf numFmtId="43" fontId="36" fillId="11" borderId="56" xfId="19" applyFont="1" applyFill="1" applyBorder="1" applyAlignment="1">
      <alignment horizontal="center" vertical="center"/>
    </xf>
    <xf numFmtId="43" fontId="36" fillId="11" borderId="33" xfId="19" applyFont="1" applyFill="1" applyBorder="1" applyAlignment="1">
      <alignment horizontal="center" vertical="center"/>
    </xf>
    <xf numFmtId="43" fontId="36" fillId="0" borderId="46" xfId="19" applyFont="1" applyFill="1" applyBorder="1" applyAlignment="1">
      <alignment horizontal="center" vertical="center" wrapText="1"/>
    </xf>
    <xf numFmtId="43" fontId="36" fillId="0" borderId="47" xfId="19" applyFont="1" applyFill="1" applyBorder="1" applyAlignment="1">
      <alignment horizontal="center" vertical="center" wrapText="1"/>
    </xf>
    <xf numFmtId="43" fontId="36" fillId="0" borderId="24" xfId="19" applyFont="1" applyFill="1" applyBorder="1" applyAlignment="1">
      <alignment horizontal="center" vertical="center" wrapText="1"/>
    </xf>
    <xf numFmtId="0" fontId="36" fillId="0" borderId="17" xfId="8" applyFont="1" applyFill="1" applyBorder="1" applyAlignment="1">
      <alignment horizontal="center" vertical="center" wrapText="1"/>
    </xf>
    <xf numFmtId="0" fontId="36" fillId="0" borderId="31" xfId="8" applyFont="1" applyFill="1" applyBorder="1" applyAlignment="1">
      <alignment horizontal="center" vertical="center" wrapText="1"/>
    </xf>
    <xf numFmtId="0" fontId="51" fillId="0" borderId="20" xfId="8" applyFont="1" applyFill="1" applyBorder="1" applyAlignment="1">
      <alignment horizontal="center" vertical="center"/>
    </xf>
    <xf numFmtId="0" fontId="51" fillId="0" borderId="17" xfId="8" applyFont="1" applyFill="1" applyBorder="1" applyAlignment="1">
      <alignment horizontal="center" vertical="center"/>
    </xf>
    <xf numFmtId="0" fontId="51" fillId="0" borderId="14" xfId="8" applyFont="1" applyFill="1" applyBorder="1" applyAlignment="1">
      <alignment horizontal="center" vertical="center"/>
    </xf>
    <xf numFmtId="0" fontId="37" fillId="0" borderId="42" xfId="8" applyFont="1" applyFill="1" applyBorder="1" applyAlignment="1">
      <alignment horizontal="center" vertical="center" wrapText="1"/>
    </xf>
    <xf numFmtId="0" fontId="37" fillId="0" borderId="17" xfId="8" applyFont="1" applyFill="1" applyBorder="1" applyAlignment="1">
      <alignment horizontal="center" vertical="center" wrapText="1"/>
    </xf>
    <xf numFmtId="0" fontId="37" fillId="0" borderId="31" xfId="8" applyFont="1" applyFill="1" applyBorder="1" applyAlignment="1">
      <alignment horizontal="center" vertical="center" wrapText="1"/>
    </xf>
    <xf numFmtId="43" fontId="36" fillId="5" borderId="46" xfId="19" applyFont="1" applyFill="1" applyBorder="1" applyAlignment="1">
      <alignment horizontal="center" vertical="center"/>
    </xf>
    <xf numFmtId="43" fontId="36" fillId="5" borderId="0" xfId="19" applyFont="1" applyFill="1" applyBorder="1" applyAlignment="1">
      <alignment horizontal="center" vertical="center"/>
    </xf>
    <xf numFmtId="43" fontId="36" fillId="5" borderId="47" xfId="19" applyFont="1" applyFill="1" applyBorder="1" applyAlignment="1">
      <alignment horizontal="center" vertical="center"/>
    </xf>
    <xf numFmtId="43" fontId="36" fillId="5" borderId="72" xfId="19" applyFont="1" applyFill="1" applyBorder="1" applyAlignment="1">
      <alignment horizontal="center" vertical="center"/>
    </xf>
    <xf numFmtId="43" fontId="36" fillId="5" borderId="70" xfId="19" applyFont="1" applyFill="1" applyBorder="1" applyAlignment="1">
      <alignment horizontal="center" vertical="center"/>
    </xf>
    <xf numFmtId="43" fontId="36" fillId="5" borderId="73" xfId="19" applyFont="1" applyFill="1" applyBorder="1" applyAlignment="1">
      <alignment horizontal="center" vertical="center"/>
    </xf>
    <xf numFmtId="43" fontId="36" fillId="0" borderId="45" xfId="19" applyFont="1" applyFill="1" applyBorder="1" applyAlignment="1">
      <alignment horizontal="center" vertical="center"/>
    </xf>
    <xf numFmtId="43" fontId="36" fillId="0" borderId="56" xfId="19" applyFont="1" applyFill="1" applyBorder="1" applyAlignment="1">
      <alignment horizontal="center" vertical="center"/>
    </xf>
    <xf numFmtId="43" fontId="36" fillId="0" borderId="33" xfId="19" applyFont="1" applyFill="1" applyBorder="1" applyAlignment="1">
      <alignment horizontal="center" vertical="center"/>
    </xf>
    <xf numFmtId="0" fontId="36" fillId="5" borderId="35" xfId="8" applyFont="1" applyFill="1" applyBorder="1" applyAlignment="1">
      <alignment horizontal="center" vertical="center"/>
    </xf>
    <xf numFmtId="0" fontId="36" fillId="5" borderId="47" xfId="8" applyFont="1" applyFill="1" applyBorder="1" applyAlignment="1">
      <alignment horizontal="center" vertical="center"/>
    </xf>
    <xf numFmtId="0" fontId="36" fillId="5" borderId="77" xfId="8" applyFont="1" applyFill="1" applyBorder="1" applyAlignment="1">
      <alignment horizontal="center" vertical="center"/>
    </xf>
    <xf numFmtId="0" fontId="36" fillId="0" borderId="2" xfId="8" applyFont="1" applyFill="1" applyBorder="1" applyAlignment="1">
      <alignment horizontal="left" vertical="center" wrapText="1"/>
    </xf>
    <xf numFmtId="0" fontId="36" fillId="0" borderId="2" xfId="8" applyFont="1" applyFill="1" applyBorder="1" applyAlignment="1">
      <alignment horizontal="left" vertical="center"/>
    </xf>
    <xf numFmtId="0" fontId="46" fillId="11" borderId="45" xfId="0" applyFont="1" applyFill="1" applyBorder="1" applyAlignment="1">
      <alignment horizontal="center" wrapText="1"/>
    </xf>
    <xf numFmtId="0" fontId="46" fillId="11" borderId="56" xfId="0" applyFont="1" applyFill="1" applyBorder="1" applyAlignment="1">
      <alignment horizontal="center" wrapText="1"/>
    </xf>
    <xf numFmtId="0" fontId="46" fillId="11" borderId="33" xfId="0" applyFont="1" applyFill="1" applyBorder="1" applyAlignment="1">
      <alignment horizontal="center" wrapText="1"/>
    </xf>
    <xf numFmtId="0" fontId="36" fillId="0" borderId="2" xfId="8" applyFont="1" applyFill="1" applyBorder="1" applyAlignment="1">
      <alignment horizontal="center" vertical="center" wrapText="1"/>
    </xf>
    <xf numFmtId="43" fontId="36" fillId="13" borderId="2" xfId="19" applyFont="1" applyFill="1" applyBorder="1" applyAlignment="1">
      <alignment horizontal="center" vertical="center" wrapText="1"/>
    </xf>
    <xf numFmtId="43" fontId="38" fillId="7" borderId="31" xfId="19" applyFont="1" applyFill="1" applyBorder="1" applyAlignment="1">
      <alignment horizontal="left" vertical="center" wrapText="1"/>
    </xf>
    <xf numFmtId="0" fontId="36" fillId="0" borderId="20" xfId="8" applyFont="1" applyFill="1" applyBorder="1" applyAlignment="1">
      <alignment horizontal="center" vertical="center" wrapText="1"/>
    </xf>
    <xf numFmtId="0" fontId="36" fillId="0" borderId="14" xfId="8" applyFont="1" applyFill="1" applyBorder="1" applyAlignment="1">
      <alignment horizontal="center" vertical="center" wrapText="1"/>
    </xf>
    <xf numFmtId="43" fontId="36" fillId="5" borderId="36" xfId="19" applyFont="1" applyFill="1" applyBorder="1" applyAlignment="1">
      <alignment horizontal="center" vertical="center"/>
    </xf>
    <xf numFmtId="43" fontId="36" fillId="5" borderId="35" xfId="19" applyFont="1" applyFill="1" applyBorder="1" applyAlignment="1">
      <alignment horizontal="center" vertical="center"/>
    </xf>
    <xf numFmtId="43" fontId="36" fillId="0" borderId="28" xfId="19" applyFont="1" applyFill="1" applyBorder="1" applyAlignment="1">
      <alignment horizontal="center" vertical="center" wrapText="1"/>
    </xf>
    <xf numFmtId="43" fontId="36" fillId="0" borderId="26" xfId="19" applyFont="1" applyFill="1" applyBorder="1" applyAlignment="1">
      <alignment horizontal="center" vertical="center" wrapText="1"/>
    </xf>
    <xf numFmtId="0" fontId="36" fillId="0" borderId="24" xfId="8" applyFont="1" applyFill="1" applyBorder="1" applyAlignment="1">
      <alignment horizontal="center" vertical="center" wrapText="1"/>
    </xf>
    <xf numFmtId="43" fontId="36" fillId="0" borderId="43" xfId="19" applyFont="1" applyFill="1" applyBorder="1" applyAlignment="1">
      <alignment horizontal="center" vertical="center" wrapText="1"/>
    </xf>
    <xf numFmtId="43" fontId="36" fillId="0" borderId="76" xfId="19" applyFont="1" applyFill="1" applyBorder="1" applyAlignment="1">
      <alignment horizontal="center" vertical="center" wrapText="1"/>
    </xf>
    <xf numFmtId="0" fontId="36" fillId="0" borderId="14" xfId="8" applyFont="1" applyFill="1" applyBorder="1" applyAlignment="1">
      <alignment horizontal="center" vertical="center"/>
    </xf>
    <xf numFmtId="0" fontId="36" fillId="0" borderId="2" xfId="8" applyFont="1" applyFill="1" applyBorder="1" applyAlignment="1">
      <alignment horizontal="center" vertical="center"/>
    </xf>
    <xf numFmtId="0" fontId="36" fillId="0" borderId="24" xfId="8" applyFont="1" applyFill="1" applyBorder="1" applyAlignment="1">
      <alignment horizontal="center" vertical="center"/>
    </xf>
    <xf numFmtId="0" fontId="36" fillId="0" borderId="14" xfId="8" applyFont="1" applyFill="1" applyBorder="1" applyAlignment="1">
      <alignment horizontal="left" vertical="center"/>
    </xf>
    <xf numFmtId="0" fontId="36" fillId="0" borderId="42" xfId="8" applyFont="1" applyFill="1" applyBorder="1" applyAlignment="1">
      <alignment horizontal="center" vertical="center" wrapText="1"/>
    </xf>
    <xf numFmtId="43" fontId="36" fillId="0" borderId="3" xfId="19" applyFont="1" applyFill="1" applyBorder="1" applyAlignment="1">
      <alignment horizontal="center" vertical="center"/>
    </xf>
    <xf numFmtId="43" fontId="36" fillId="0" borderId="5" xfId="19" applyFont="1" applyFill="1" applyBorder="1" applyAlignment="1">
      <alignment horizontal="center" vertical="center"/>
    </xf>
    <xf numFmtId="0" fontId="37" fillId="0" borderId="20" xfId="8" applyFont="1" applyFill="1" applyBorder="1" applyAlignment="1">
      <alignment horizontal="center" vertical="center" wrapText="1"/>
    </xf>
    <xf numFmtId="0" fontId="37" fillId="0" borderId="14" xfId="8" applyFont="1" applyFill="1" applyBorder="1" applyAlignment="1">
      <alignment horizontal="center" vertical="center" wrapText="1"/>
    </xf>
    <xf numFmtId="0" fontId="36" fillId="0" borderId="3" xfId="8" applyFont="1" applyFill="1" applyBorder="1" applyAlignment="1">
      <alignment horizontal="left" vertical="center" wrapText="1"/>
    </xf>
    <xf numFmtId="0" fontId="36" fillId="0" borderId="5" xfId="8" applyFont="1" applyFill="1" applyBorder="1" applyAlignment="1">
      <alignment horizontal="left" vertical="center" wrapText="1"/>
    </xf>
    <xf numFmtId="0" fontId="0" fillId="0" borderId="5" xfId="0" applyBorder="1"/>
    <xf numFmtId="43" fontId="36" fillId="11" borderId="3" xfId="19" applyFont="1" applyFill="1" applyBorder="1" applyAlignment="1">
      <alignment horizontal="left" vertical="center"/>
    </xf>
    <xf numFmtId="43" fontId="36" fillId="11" borderId="5" xfId="19" applyFont="1" applyFill="1" applyBorder="1" applyAlignment="1">
      <alignment horizontal="left" vertical="center"/>
    </xf>
    <xf numFmtId="43" fontId="36" fillId="11" borderId="48" xfId="19" applyFont="1" applyFill="1" applyBorder="1" applyAlignment="1">
      <alignment horizontal="left" vertical="center"/>
    </xf>
    <xf numFmtId="43" fontId="36" fillId="11" borderId="49" xfId="19" applyFont="1" applyFill="1" applyBorder="1" applyAlignment="1">
      <alignment horizontal="left" vertical="center"/>
    </xf>
    <xf numFmtId="0" fontId="38" fillId="7" borderId="45" xfId="8" applyFont="1" applyFill="1" applyBorder="1" applyAlignment="1">
      <alignment horizontal="left" vertical="center" wrapText="1"/>
    </xf>
    <xf numFmtId="0" fontId="38" fillId="7" borderId="56" xfId="8" applyFont="1" applyFill="1" applyBorder="1" applyAlignment="1">
      <alignment horizontal="left" vertical="center" wrapText="1"/>
    </xf>
    <xf numFmtId="0" fontId="38" fillId="7" borderId="33" xfId="8" applyFont="1" applyFill="1" applyBorder="1" applyAlignment="1">
      <alignment horizontal="left" vertical="center" wrapText="1"/>
    </xf>
    <xf numFmtId="43" fontId="36" fillId="0" borderId="36" xfId="19" applyFont="1" applyFill="1" applyBorder="1" applyAlignment="1">
      <alignment horizontal="center" vertical="center"/>
    </xf>
    <xf numFmtId="43" fontId="36" fillId="0" borderId="35" xfId="19" applyFont="1" applyFill="1" applyBorder="1" applyAlignment="1">
      <alignment horizontal="center" vertical="center"/>
    </xf>
    <xf numFmtId="0" fontId="36" fillId="0" borderId="78" xfId="8" applyFont="1" applyFill="1" applyBorder="1" applyAlignment="1">
      <alignment horizontal="center" vertical="center"/>
    </xf>
    <xf numFmtId="0" fontId="36" fillId="0" borderId="3" xfId="8" applyFont="1" applyFill="1" applyBorder="1" applyAlignment="1">
      <alignment horizontal="left" vertical="center"/>
    </xf>
    <xf numFmtId="0" fontId="36" fillId="0" borderId="5" xfId="8" applyFont="1" applyFill="1" applyBorder="1" applyAlignment="1">
      <alignment horizontal="left" vertical="center"/>
    </xf>
    <xf numFmtId="0" fontId="0" fillId="0" borderId="35" xfId="0" applyBorder="1"/>
    <xf numFmtId="0" fontId="36" fillId="0" borderId="45" xfId="8" applyFont="1" applyFill="1" applyBorder="1" applyAlignment="1">
      <alignment horizontal="left" vertical="center"/>
    </xf>
    <xf numFmtId="0" fontId="36" fillId="0" borderId="56" xfId="8" applyFont="1" applyFill="1" applyBorder="1" applyAlignment="1">
      <alignment horizontal="left" vertical="center"/>
    </xf>
    <xf numFmtId="0" fontId="36" fillId="0" borderId="33" xfId="8" applyFont="1" applyFill="1" applyBorder="1" applyAlignment="1">
      <alignment horizontal="left" vertical="center"/>
    </xf>
    <xf numFmtId="0" fontId="54" fillId="0" borderId="2" xfId="8" applyFont="1" applyFill="1" applyBorder="1" applyAlignment="1">
      <alignment horizontal="center" vertical="center"/>
    </xf>
    <xf numFmtId="0" fontId="36" fillId="0" borderId="74" xfId="8" applyFont="1" applyFill="1" applyBorder="1" applyAlignment="1">
      <alignment horizontal="left" vertical="center" wrapText="1"/>
    </xf>
    <xf numFmtId="43" fontId="38" fillId="0" borderId="13" xfId="19" applyFont="1" applyFill="1" applyBorder="1" applyAlignment="1">
      <alignment horizontal="left" vertical="center" wrapText="1"/>
    </xf>
    <xf numFmtId="0" fontId="51" fillId="0" borderId="21" xfId="8" applyFont="1" applyFill="1" applyBorder="1" applyAlignment="1">
      <alignment horizontal="center" vertical="center"/>
    </xf>
    <xf numFmtId="0" fontId="51" fillId="0" borderId="19" xfId="8" applyFont="1" applyFill="1" applyBorder="1" applyAlignment="1">
      <alignment horizontal="center" vertical="center"/>
    </xf>
    <xf numFmtId="0" fontId="51" fillId="0" borderId="30" xfId="8" applyFont="1" applyFill="1" applyBorder="1" applyAlignment="1">
      <alignment horizontal="center" vertical="center"/>
    </xf>
    <xf numFmtId="0" fontId="52" fillId="0" borderId="56" xfId="8" applyFont="1" applyFill="1" applyBorder="1" applyAlignment="1">
      <alignment horizontal="center" vertical="center" wrapText="1"/>
    </xf>
    <xf numFmtId="0" fontId="52" fillId="0" borderId="33" xfId="8" applyFont="1" applyFill="1" applyBorder="1" applyAlignment="1">
      <alignment horizontal="center" vertical="center" wrapText="1"/>
    </xf>
    <xf numFmtId="0" fontId="36" fillId="0" borderId="35" xfId="8" applyFont="1" applyFill="1" applyBorder="1" applyAlignment="1">
      <alignment horizontal="center" vertical="center" wrapText="1"/>
    </xf>
    <xf numFmtId="0" fontId="36" fillId="0" borderId="47" xfId="8" applyFont="1" applyFill="1" applyBorder="1" applyAlignment="1">
      <alignment horizontal="center" vertical="center" wrapText="1"/>
    </xf>
    <xf numFmtId="43" fontId="36" fillId="0" borderId="43" xfId="19" applyFont="1" applyFill="1" applyBorder="1" applyAlignment="1">
      <alignment horizontal="center" vertical="center"/>
    </xf>
    <xf numFmtId="43" fontId="36" fillId="0" borderId="75" xfId="19" applyFont="1" applyFill="1" applyBorder="1" applyAlignment="1">
      <alignment horizontal="center" vertical="center"/>
    </xf>
    <xf numFmtId="43" fontId="36" fillId="0" borderId="76" xfId="19" applyFont="1" applyFill="1" applyBorder="1" applyAlignment="1">
      <alignment horizontal="center" vertical="center"/>
    </xf>
    <xf numFmtId="0" fontId="37" fillId="0" borderId="20" xfId="8" applyFont="1" applyFill="1" applyBorder="1" applyAlignment="1">
      <alignment horizontal="center" vertical="center"/>
    </xf>
    <xf numFmtId="0" fontId="37" fillId="0" borderId="14" xfId="8" applyFont="1" applyFill="1" applyBorder="1" applyAlignment="1">
      <alignment horizontal="center" vertical="center"/>
    </xf>
    <xf numFmtId="0" fontId="56" fillId="0" borderId="73" xfId="8" applyFont="1" applyFill="1" applyBorder="1" applyAlignment="1">
      <alignment horizontal="center" vertical="center" wrapText="1"/>
    </xf>
    <xf numFmtId="0" fontId="56" fillId="0" borderId="47" xfId="8" applyFont="1" applyFill="1" applyBorder="1" applyAlignment="1">
      <alignment horizontal="center" vertical="center" wrapText="1"/>
    </xf>
    <xf numFmtId="43" fontId="36" fillId="0" borderId="28" xfId="19" applyFont="1" applyFill="1" applyBorder="1" applyAlignment="1">
      <alignment horizontal="center" vertical="center"/>
    </xf>
    <xf numFmtId="43" fontId="36" fillId="0" borderId="50" xfId="19" applyFont="1" applyFill="1" applyBorder="1" applyAlignment="1">
      <alignment horizontal="center" vertical="center"/>
    </xf>
    <xf numFmtId="43" fontId="36" fillId="0" borderId="26" xfId="19" applyFont="1" applyFill="1" applyBorder="1" applyAlignment="1">
      <alignment horizontal="center" vertical="center"/>
    </xf>
    <xf numFmtId="43" fontId="36" fillId="5" borderId="2" xfId="19" applyFont="1" applyFill="1" applyBorder="1" applyAlignment="1">
      <alignment horizontal="center" vertical="center"/>
    </xf>
    <xf numFmtId="43" fontId="36" fillId="0" borderId="2" xfId="19" applyFont="1" applyFill="1" applyBorder="1" applyAlignment="1">
      <alignment horizontal="center" vertical="center"/>
    </xf>
    <xf numFmtId="0" fontId="18" fillId="0" borderId="43" xfId="7" applyFont="1" applyFill="1" applyBorder="1" applyAlignment="1">
      <alignment horizontal="center"/>
    </xf>
    <xf numFmtId="0" fontId="18" fillId="0" borderId="81" xfId="7" applyFont="1" applyFill="1" applyBorder="1" applyAlignment="1">
      <alignment horizontal="center"/>
    </xf>
    <xf numFmtId="0" fontId="37" fillId="6" borderId="45" xfId="8" applyFont="1" applyFill="1" applyBorder="1" applyAlignment="1">
      <alignment horizontal="left" vertical="center"/>
    </xf>
    <xf numFmtId="0" fontId="37" fillId="6" borderId="56" xfId="8" applyFont="1" applyFill="1" applyBorder="1" applyAlignment="1">
      <alignment horizontal="left" vertical="center"/>
    </xf>
    <xf numFmtId="0" fontId="37" fillId="6" borderId="29" xfId="8" applyFont="1" applyFill="1" applyBorder="1" applyAlignment="1">
      <alignment horizontal="left" vertical="center"/>
    </xf>
    <xf numFmtId="0" fontId="37" fillId="0" borderId="2" xfId="8" applyFont="1" applyFill="1" applyBorder="1" applyAlignment="1">
      <alignment horizontal="center" vertical="center" wrapText="1"/>
    </xf>
    <xf numFmtId="0" fontId="18" fillId="0" borderId="43" xfId="7" applyFont="1" applyFill="1" applyBorder="1" applyAlignment="1">
      <alignment horizontal="center" wrapText="1"/>
    </xf>
    <xf numFmtId="0" fontId="18" fillId="0" borderId="75" xfId="7" applyFont="1" applyFill="1" applyBorder="1" applyAlignment="1">
      <alignment horizontal="center"/>
    </xf>
    <xf numFmtId="0" fontId="18" fillId="0" borderId="25" xfId="7" applyFont="1" applyFill="1" applyBorder="1" applyAlignment="1">
      <alignment horizontal="left" vertical="center"/>
    </xf>
    <xf numFmtId="0" fontId="18" fillId="0" borderId="2" xfId="7" applyFont="1" applyFill="1" applyBorder="1" applyAlignment="1">
      <alignment horizontal="left" vertical="center"/>
    </xf>
    <xf numFmtId="0" fontId="18" fillId="0" borderId="23" xfId="7" applyFont="1" applyFill="1" applyBorder="1" applyAlignment="1">
      <alignment horizontal="left" vertical="center"/>
    </xf>
    <xf numFmtId="0" fontId="4" fillId="0" borderId="79" xfId="7" applyFont="1" applyFill="1" applyBorder="1" applyAlignment="1">
      <alignment horizontal="left" vertical="center" wrapText="1"/>
    </xf>
    <xf numFmtId="0" fontId="4" fillId="0" borderId="38" xfId="7" applyFont="1" applyFill="1" applyBorder="1" applyAlignment="1">
      <alignment horizontal="left" vertical="center" wrapText="1"/>
    </xf>
    <xf numFmtId="0" fontId="4" fillId="0" borderId="80" xfId="7" applyFont="1" applyFill="1" applyBorder="1" applyAlignment="1">
      <alignment horizontal="left" vertical="center" wrapText="1"/>
    </xf>
    <xf numFmtId="0" fontId="4" fillId="0" borderId="25" xfId="7" applyFont="1" applyFill="1" applyBorder="1" applyAlignment="1">
      <alignment horizontal="center" vertical="center" wrapText="1"/>
    </xf>
    <xf numFmtId="0" fontId="4" fillId="0" borderId="2" xfId="7" applyFont="1" applyFill="1" applyBorder="1" applyAlignment="1">
      <alignment horizontal="center" vertical="center" wrapText="1"/>
    </xf>
    <xf numFmtId="43" fontId="37" fillId="5" borderId="13" xfId="19" applyFont="1" applyFill="1" applyBorder="1" applyAlignment="1">
      <alignment horizontal="center" vertical="center"/>
    </xf>
    <xf numFmtId="0" fontId="18" fillId="0" borderId="14" xfId="7" applyFont="1" applyFill="1" applyBorder="1" applyAlignment="1">
      <alignment horizontal="center" vertical="center"/>
    </xf>
    <xf numFmtId="0" fontId="18" fillId="0" borderId="23" xfId="7" applyFont="1" applyFill="1" applyBorder="1" applyAlignment="1">
      <alignment horizontal="center" vertical="center"/>
    </xf>
    <xf numFmtId="14" fontId="18" fillId="4" borderId="2" xfId="7" applyNumberFormat="1" applyFont="1" applyFill="1" applyBorder="1" applyAlignment="1">
      <alignment horizontal="center" vertical="center"/>
    </xf>
    <xf numFmtId="0" fontId="18" fillId="4" borderId="23" xfId="7" applyFont="1" applyFill="1" applyBorder="1" applyAlignment="1">
      <alignment horizontal="center" vertical="center"/>
    </xf>
    <xf numFmtId="0" fontId="18" fillId="0" borderId="74" xfId="7" applyFont="1" applyFill="1" applyBorder="1" applyAlignment="1">
      <alignment horizontal="left" vertical="center"/>
    </xf>
    <xf numFmtId="0" fontId="18" fillId="0" borderId="4" xfId="7" applyFont="1" applyFill="1" applyBorder="1" applyAlignment="1">
      <alignment horizontal="left" vertical="center"/>
    </xf>
    <xf numFmtId="0" fontId="18" fillId="0" borderId="5" xfId="7" applyFont="1" applyFill="1" applyBorder="1" applyAlignment="1">
      <alignment horizontal="left" vertical="center"/>
    </xf>
    <xf numFmtId="0" fontId="18" fillId="0" borderId="3" xfId="7" applyFont="1" applyFill="1" applyBorder="1" applyAlignment="1">
      <alignment horizontal="center" vertical="center"/>
    </xf>
    <xf numFmtId="0" fontId="18" fillId="0" borderId="51" xfId="7" applyFont="1" applyFill="1" applyBorder="1" applyAlignment="1">
      <alignment horizontal="center" vertical="center"/>
    </xf>
    <xf numFmtId="0" fontId="56" fillId="0" borderId="20" xfId="8" applyFont="1" applyFill="1" applyBorder="1" applyAlignment="1">
      <alignment horizontal="center" vertical="center" wrapText="1"/>
    </xf>
    <xf numFmtId="0" fontId="56" fillId="0" borderId="14" xfId="8" applyFont="1" applyFill="1" applyBorder="1" applyAlignment="1">
      <alignment horizontal="center" vertical="center" wrapText="1"/>
    </xf>
    <xf numFmtId="43" fontId="36" fillId="11" borderId="36" xfId="19" applyFont="1" applyFill="1" applyBorder="1" applyAlignment="1">
      <alignment horizontal="center" vertical="center" wrapText="1"/>
    </xf>
    <xf numFmtId="43" fontId="36" fillId="11" borderId="37" xfId="19" applyFont="1" applyFill="1" applyBorder="1" applyAlignment="1">
      <alignment horizontal="center" vertical="center" wrapText="1"/>
    </xf>
    <xf numFmtId="43" fontId="36" fillId="11" borderId="4" xfId="19" applyFont="1" applyFill="1" applyBorder="1" applyAlignment="1">
      <alignment horizontal="center" vertical="center" wrapText="1"/>
    </xf>
    <xf numFmtId="43" fontId="36" fillId="11" borderId="51" xfId="19" applyFont="1" applyFill="1" applyBorder="1" applyAlignment="1">
      <alignment horizontal="center" vertical="center" wrapText="1"/>
    </xf>
    <xf numFmtId="0" fontId="36" fillId="0" borderId="74" xfId="8" applyFont="1" applyFill="1" applyBorder="1" applyAlignment="1">
      <alignment horizontal="center" vertical="center"/>
    </xf>
    <xf numFmtId="0" fontId="36" fillId="0" borderId="5" xfId="8" applyFont="1" applyFill="1" applyBorder="1" applyAlignment="1">
      <alignment horizontal="center" vertical="center"/>
    </xf>
    <xf numFmtId="0" fontId="37" fillId="0" borderId="47" xfId="8" applyFont="1" applyFill="1" applyBorder="1" applyAlignment="1">
      <alignment horizontal="center" vertical="center" wrapText="1"/>
    </xf>
    <xf numFmtId="0" fontId="37" fillId="0" borderId="77" xfId="8" applyFont="1" applyFill="1" applyBorder="1" applyAlignment="1">
      <alignment horizontal="center" vertical="center" wrapText="1"/>
    </xf>
    <xf numFmtId="2" fontId="28" fillId="11" borderId="36" xfId="11" applyNumberFormat="1" applyFont="1" applyFill="1" applyBorder="1" applyAlignment="1">
      <alignment horizontal="left" vertical="center" wrapText="1"/>
    </xf>
    <xf numFmtId="2" fontId="28" fillId="11" borderId="37" xfId="11" applyNumberFormat="1" applyFont="1" applyFill="1" applyBorder="1" applyAlignment="1">
      <alignment horizontal="left" vertical="center" wrapText="1"/>
    </xf>
    <xf numFmtId="2" fontId="28" fillId="11" borderId="35" xfId="11" applyNumberFormat="1" applyFont="1" applyFill="1" applyBorder="1" applyAlignment="1">
      <alignment horizontal="left" vertical="center" wrapText="1"/>
    </xf>
    <xf numFmtId="0" fontId="36" fillId="0" borderId="3" xfId="8" applyFont="1" applyFill="1" applyBorder="1" applyAlignment="1">
      <alignment horizontal="center" vertical="center"/>
    </xf>
    <xf numFmtId="43" fontId="36" fillId="0" borderId="45" xfId="19" applyFont="1" applyFill="1" applyBorder="1" applyAlignment="1">
      <alignment horizontal="center" vertical="center" wrapText="1"/>
    </xf>
    <xf numFmtId="43" fontId="36" fillId="0" borderId="33" xfId="19" applyFont="1" applyFill="1" applyBorder="1" applyAlignment="1">
      <alignment horizontal="center" vertical="center" wrapText="1"/>
    </xf>
    <xf numFmtId="43" fontId="36" fillId="0" borderId="3" xfId="19" applyFont="1" applyFill="1" applyBorder="1" applyAlignment="1">
      <alignment horizontal="left" vertical="center"/>
    </xf>
    <xf numFmtId="43" fontId="36" fillId="0" borderId="5" xfId="19" applyFont="1" applyFill="1" applyBorder="1" applyAlignment="1">
      <alignment horizontal="left" vertical="center"/>
    </xf>
    <xf numFmtId="43" fontId="36" fillId="5" borderId="48" xfId="19" applyFont="1" applyFill="1" applyBorder="1" applyAlignment="1">
      <alignment horizontal="left" vertical="center" wrapText="1"/>
    </xf>
    <xf numFmtId="43" fontId="36" fillId="5" borderId="49" xfId="19" applyFont="1" applyFill="1" applyBorder="1" applyAlignment="1">
      <alignment horizontal="left" vertical="center" wrapText="1"/>
    </xf>
    <xf numFmtId="0" fontId="36" fillId="0" borderId="4" xfId="8" applyFont="1" applyFill="1" applyBorder="1" applyAlignment="1">
      <alignment horizontal="center" vertical="center"/>
    </xf>
    <xf numFmtId="0" fontId="36" fillId="0" borderId="75" xfId="8" applyFont="1" applyFill="1" applyBorder="1" applyAlignment="1">
      <alignment horizontal="center" vertical="center"/>
    </xf>
    <xf numFmtId="0" fontId="58" fillId="5" borderId="79" xfId="8" applyFont="1" applyFill="1" applyBorder="1" applyAlignment="1">
      <alignment horizontal="left" vertical="center" wrapText="1"/>
    </xf>
    <xf numFmtId="0" fontId="58" fillId="5" borderId="38" xfId="8" applyFont="1" applyFill="1" applyBorder="1" applyAlignment="1">
      <alignment horizontal="left" vertical="center" wrapText="1"/>
    </xf>
    <xf numFmtId="0" fontId="58" fillId="5" borderId="80" xfId="8" applyFont="1" applyFill="1" applyBorder="1" applyAlignment="1">
      <alignment horizontal="left" vertical="center" wrapText="1"/>
    </xf>
    <xf numFmtId="43" fontId="36" fillId="5" borderId="2" xfId="19" applyFont="1" applyFill="1" applyBorder="1" applyAlignment="1">
      <alignment horizontal="left" vertical="center" wrapText="1"/>
    </xf>
    <xf numFmtId="0" fontId="36" fillId="0" borderId="45" xfId="8" applyFont="1" applyFill="1" applyBorder="1" applyAlignment="1">
      <alignment horizontal="left" vertical="center" wrapText="1"/>
    </xf>
    <xf numFmtId="0" fontId="36" fillId="0" borderId="56" xfId="8" applyFont="1" applyFill="1" applyBorder="1" applyAlignment="1">
      <alignment horizontal="left" vertical="center" wrapText="1"/>
    </xf>
    <xf numFmtId="0" fontId="36" fillId="0" borderId="33" xfId="8" applyFont="1" applyFill="1" applyBorder="1" applyAlignment="1">
      <alignment horizontal="left" vertical="center" wrapText="1"/>
    </xf>
    <xf numFmtId="0" fontId="53" fillId="0" borderId="45" xfId="8" applyFont="1" applyFill="1" applyBorder="1" applyAlignment="1">
      <alignment horizontal="center" vertical="center" wrapText="1"/>
    </xf>
    <xf numFmtId="0" fontId="53" fillId="0" borderId="33" xfId="8" applyFont="1" applyFill="1" applyBorder="1" applyAlignment="1">
      <alignment horizontal="center" vertical="center" wrapText="1"/>
    </xf>
    <xf numFmtId="0" fontId="37" fillId="0" borderId="54" xfId="8" applyFont="1" applyFill="1" applyBorder="1" applyAlignment="1">
      <alignment horizontal="center" vertical="center" wrapText="1"/>
    </xf>
    <xf numFmtId="0" fontId="37" fillId="0" borderId="30" xfId="8" applyFont="1" applyFill="1" applyBorder="1" applyAlignment="1">
      <alignment horizontal="center" vertical="center" wrapText="1"/>
    </xf>
    <xf numFmtId="0" fontId="37" fillId="0" borderId="24" xfId="8" applyFont="1" applyFill="1" applyBorder="1" applyAlignment="1">
      <alignment horizontal="center" vertical="center" wrapText="1"/>
    </xf>
    <xf numFmtId="0" fontId="37" fillId="0" borderId="45" xfId="8" applyFont="1" applyFill="1" applyBorder="1" applyAlignment="1">
      <alignment horizontal="center" vertical="center" wrapText="1"/>
    </xf>
    <xf numFmtId="0" fontId="37" fillId="0" borderId="33" xfId="8" applyFont="1" applyFill="1" applyBorder="1" applyAlignment="1">
      <alignment horizontal="center" vertical="center" wrapText="1"/>
    </xf>
    <xf numFmtId="43" fontId="36" fillId="5" borderId="20" xfId="19" applyFont="1" applyFill="1" applyBorder="1" applyAlignment="1">
      <alignment horizontal="left" vertical="center" wrapText="1"/>
    </xf>
    <xf numFmtId="43" fontId="36" fillId="5" borderId="43" xfId="19" applyFont="1" applyFill="1" applyBorder="1" applyAlignment="1">
      <alignment horizontal="center" vertical="center"/>
    </xf>
    <xf numFmtId="43" fontId="36" fillId="5" borderId="76" xfId="19" applyFont="1" applyFill="1" applyBorder="1" applyAlignment="1">
      <alignment horizontal="center" vertical="center"/>
    </xf>
    <xf numFmtId="0" fontId="56" fillId="0" borderId="17" xfId="8" applyFont="1" applyFill="1" applyBorder="1" applyAlignment="1">
      <alignment horizontal="center" vertical="center" wrapText="1"/>
    </xf>
    <xf numFmtId="0" fontId="37" fillId="0" borderId="2" xfId="8" applyFont="1" applyFill="1" applyBorder="1" applyAlignment="1">
      <alignment horizontal="center" vertical="center"/>
    </xf>
    <xf numFmtId="43" fontId="37" fillId="6" borderId="72" xfId="19" applyFont="1" applyFill="1" applyBorder="1" applyAlignment="1">
      <alignment horizontal="left" vertical="center"/>
    </xf>
    <xf numFmtId="43" fontId="37" fillId="6" borderId="70" xfId="19" applyFont="1" applyFill="1" applyBorder="1" applyAlignment="1">
      <alignment horizontal="left" vertical="center"/>
    </xf>
    <xf numFmtId="43" fontId="37" fillId="6" borderId="71" xfId="19" applyFont="1" applyFill="1" applyBorder="1" applyAlignment="1">
      <alignment horizontal="left" vertical="center"/>
    </xf>
    <xf numFmtId="43" fontId="38" fillId="11" borderId="45" xfId="19" applyFont="1" applyFill="1" applyBorder="1" applyAlignment="1">
      <alignment horizontal="center" vertical="center" wrapText="1"/>
    </xf>
    <xf numFmtId="43" fontId="38" fillId="11" borderId="56" xfId="19" applyFont="1" applyFill="1" applyBorder="1" applyAlignment="1">
      <alignment horizontal="center" vertical="center" wrapText="1"/>
    </xf>
    <xf numFmtId="0" fontId="33" fillId="11" borderId="28" xfId="11" applyFill="1" applyBorder="1" applyAlignment="1">
      <alignment horizontal="center"/>
    </xf>
    <xf numFmtId="0" fontId="33" fillId="11" borderId="50" xfId="11" applyFill="1" applyBorder="1" applyAlignment="1">
      <alignment horizontal="center"/>
    </xf>
    <xf numFmtId="0" fontId="33" fillId="11" borderId="26" xfId="11" applyFill="1" applyBorder="1" applyAlignment="1">
      <alignment horizontal="center"/>
    </xf>
    <xf numFmtId="4" fontId="37" fillId="11" borderId="45" xfId="8" applyNumberFormat="1" applyFont="1" applyFill="1" applyBorder="1" applyAlignment="1">
      <alignment horizontal="right" vertical="center"/>
    </xf>
    <xf numFmtId="0" fontId="37" fillId="11" borderId="56" xfId="8" applyFont="1" applyFill="1" applyBorder="1" applyAlignment="1">
      <alignment horizontal="right" vertical="center"/>
    </xf>
    <xf numFmtId="0" fontId="37" fillId="11" borderId="29" xfId="8" applyFont="1" applyFill="1" applyBorder="1" applyAlignment="1">
      <alignment horizontal="right" vertical="center"/>
    </xf>
    <xf numFmtId="0" fontId="37" fillId="0" borderId="6" xfId="8" applyFont="1" applyFill="1" applyBorder="1" applyAlignment="1">
      <alignment horizontal="center" vertical="center" wrapText="1"/>
    </xf>
    <xf numFmtId="0" fontId="37" fillId="0" borderId="8" xfId="8" applyFont="1" applyFill="1" applyBorder="1" applyAlignment="1">
      <alignment horizontal="center" vertical="center" wrapText="1"/>
    </xf>
    <xf numFmtId="0" fontId="51" fillId="0" borderId="2" xfId="8" applyFont="1" applyFill="1" applyBorder="1" applyAlignment="1">
      <alignment horizontal="center" vertical="center"/>
    </xf>
    <xf numFmtId="43" fontId="36" fillId="0" borderId="48" xfId="17" applyFont="1" applyFill="1" applyBorder="1" applyAlignment="1">
      <alignment horizontal="center" vertical="center"/>
    </xf>
    <xf numFmtId="43" fontId="36" fillId="0" borderId="49" xfId="17" applyFont="1" applyFill="1" applyBorder="1" applyAlignment="1">
      <alignment horizontal="center" vertical="center"/>
    </xf>
    <xf numFmtId="43" fontId="36" fillId="11" borderId="43" xfId="19" applyFont="1" applyFill="1" applyBorder="1" applyAlignment="1">
      <alignment horizontal="left" vertical="center"/>
    </xf>
    <xf numFmtId="43" fontId="36" fillId="11" borderId="76" xfId="19" applyFont="1" applyFill="1" applyBorder="1" applyAlignment="1">
      <alignment horizontal="left" vertical="center"/>
    </xf>
    <xf numFmtId="43" fontId="38" fillId="7" borderId="82" xfId="19" applyFont="1" applyFill="1" applyBorder="1" applyAlignment="1">
      <alignment horizontal="left" vertical="center" wrapText="1"/>
    </xf>
    <xf numFmtId="43" fontId="38" fillId="7" borderId="9" xfId="19" applyFont="1" applyFill="1" applyBorder="1" applyAlignment="1">
      <alignment horizontal="left" vertical="center" wrapText="1"/>
    </xf>
    <xf numFmtId="43" fontId="38" fillId="7" borderId="77" xfId="19" applyFont="1" applyFill="1" applyBorder="1" applyAlignment="1">
      <alignment horizontal="left" vertical="center" wrapText="1"/>
    </xf>
    <xf numFmtId="0" fontId="36" fillId="0" borderId="78" xfId="8" applyFont="1" applyFill="1" applyBorder="1" applyAlignment="1">
      <alignment horizontal="left" vertical="center"/>
    </xf>
    <xf numFmtId="0" fontId="36" fillId="0" borderId="75" xfId="8" applyFont="1" applyFill="1" applyBorder="1" applyAlignment="1">
      <alignment horizontal="left" vertical="center"/>
    </xf>
    <xf numFmtId="0" fontId="36" fillId="0" borderId="76" xfId="8" applyFont="1" applyFill="1" applyBorder="1" applyAlignment="1">
      <alignment horizontal="left" vertical="center"/>
    </xf>
    <xf numFmtId="43" fontId="37" fillId="6" borderId="39" xfId="19" applyFont="1" applyFill="1" applyBorder="1" applyAlignment="1">
      <alignment horizontal="left" vertical="center"/>
    </xf>
    <xf numFmtId="43" fontId="36" fillId="5" borderId="36" xfId="19" applyFont="1" applyFill="1" applyBorder="1" applyAlignment="1">
      <alignment horizontal="left" vertical="center" wrapText="1"/>
    </xf>
    <xf numFmtId="43" fontId="36" fillId="5" borderId="37" xfId="19" applyFont="1" applyFill="1" applyBorder="1" applyAlignment="1">
      <alignment horizontal="left" vertical="center" wrapText="1"/>
    </xf>
    <xf numFmtId="43" fontId="36" fillId="5" borderId="35" xfId="19" applyFont="1" applyFill="1" applyBorder="1" applyAlignment="1">
      <alignment horizontal="left" vertical="center" wrapText="1"/>
    </xf>
    <xf numFmtId="43" fontId="36" fillId="5" borderId="75" xfId="19" applyFont="1" applyFill="1" applyBorder="1" applyAlignment="1">
      <alignment horizontal="center" vertical="center"/>
    </xf>
    <xf numFmtId="43" fontId="36" fillId="0" borderId="2" xfId="17" applyFont="1" applyFill="1" applyBorder="1" applyAlignment="1">
      <alignment horizontal="center" vertical="center"/>
    </xf>
    <xf numFmtId="0" fontId="0" fillId="0" borderId="2" xfId="0" applyBorder="1"/>
    <xf numFmtId="0" fontId="56" fillId="0" borderId="31" xfId="8" applyFont="1" applyFill="1" applyBorder="1" applyAlignment="1">
      <alignment horizontal="center" vertical="center" wrapText="1"/>
    </xf>
    <xf numFmtId="0" fontId="54" fillId="0" borderId="20" xfId="8" applyFont="1" applyFill="1" applyBorder="1" applyAlignment="1">
      <alignment horizontal="center" vertical="center" wrapText="1"/>
    </xf>
    <xf numFmtId="0" fontId="54" fillId="0" borderId="31" xfId="8" applyFont="1" applyFill="1" applyBorder="1" applyAlignment="1">
      <alignment horizontal="center" vertical="center" wrapText="1"/>
    </xf>
    <xf numFmtId="0" fontId="20" fillId="0" borderId="39" xfId="6" applyFont="1" applyFill="1" applyBorder="1" applyAlignment="1">
      <alignment horizontal="left" vertical="center" wrapText="1"/>
    </xf>
    <xf numFmtId="0" fontId="20" fillId="0" borderId="56" xfId="6" applyFont="1" applyFill="1" applyBorder="1" applyAlignment="1">
      <alignment horizontal="left" vertical="center" wrapText="1"/>
    </xf>
    <xf numFmtId="0" fontId="20" fillId="0" borderId="33" xfId="6" applyFont="1" applyFill="1" applyBorder="1" applyAlignment="1">
      <alignment horizontal="left" vertical="center" wrapText="1"/>
    </xf>
    <xf numFmtId="0" fontId="20" fillId="0" borderId="3" xfId="6" applyFont="1" applyFill="1" applyBorder="1" applyAlignment="1">
      <alignment horizontal="left" vertical="center"/>
    </xf>
    <xf numFmtId="0" fontId="20" fillId="0" borderId="4" xfId="6" applyFont="1" applyFill="1" applyBorder="1" applyAlignment="1">
      <alignment horizontal="left" vertical="center"/>
    </xf>
    <xf numFmtId="0" fontId="23" fillId="0" borderId="48" xfId="6" applyFont="1" applyFill="1" applyBorder="1" applyAlignment="1">
      <alignment horizontal="center" vertical="center" wrapText="1"/>
    </xf>
    <xf numFmtId="0" fontId="23" fillId="0" borderId="38" xfId="6" applyFont="1" applyFill="1" applyBorder="1" applyAlignment="1">
      <alignment horizontal="center" vertical="center" wrapText="1"/>
    </xf>
    <xf numFmtId="0" fontId="23" fillId="0" borderId="49" xfId="6" applyFont="1" applyFill="1" applyBorder="1" applyAlignment="1">
      <alignment horizontal="center" vertical="center" wrapText="1"/>
    </xf>
    <xf numFmtId="0" fontId="23" fillId="0" borderId="37" xfId="6" applyFont="1" applyFill="1" applyBorder="1" applyAlignment="1">
      <alignment horizontal="center" vertical="center" wrapText="1"/>
    </xf>
    <xf numFmtId="0" fontId="23" fillId="0" borderId="35" xfId="6" applyFont="1" applyFill="1" applyBorder="1" applyAlignment="1">
      <alignment horizontal="center" vertical="center" wrapText="1"/>
    </xf>
    <xf numFmtId="0" fontId="35" fillId="0" borderId="2" xfId="7" applyFont="1" applyBorder="1" applyAlignment="1">
      <alignment horizontal="center" vertical="center"/>
    </xf>
  </cellXfs>
  <cellStyles count="33">
    <cellStyle name="Excel Built-in Excel Built-in Excel Built-in Excel Built-in Excel Built-in Excel Built-in Excel Built-in Separador de milhares 4" xfId="1"/>
    <cellStyle name="Excel Built-in Normal" xfId="2"/>
    <cellStyle name="Moeda 2" xfId="3"/>
    <cellStyle name="Moeda 2 2" xfId="4"/>
    <cellStyle name="Moeda 3" xfId="5"/>
    <cellStyle name="Normal" xfId="0" builtinId="0"/>
    <cellStyle name="Normal 2" xfId="6"/>
    <cellStyle name="Normal 2 2" xfId="7"/>
    <cellStyle name="Normal 2 3" xfId="8"/>
    <cellStyle name="Normal 3" xfId="9"/>
    <cellStyle name="Normal 3 2" xfId="10"/>
    <cellStyle name="Normal 3 3" xfId="11"/>
    <cellStyle name="Normal 6" xfId="12"/>
    <cellStyle name="Porcentagem 2" xfId="13"/>
    <cellStyle name="Porcentagem 2 2" xfId="14"/>
    <cellStyle name="Porcentagem 2 3" xfId="15"/>
    <cellStyle name="Porcentagem 3" xfId="16"/>
    <cellStyle name="Separador de milhares" xfId="17" builtinId="3"/>
    <cellStyle name="Separador de milhares 2" xfId="18"/>
    <cellStyle name="Separador de milhares 2 2" xfId="19"/>
    <cellStyle name="Separador de milhares 2 2 2" xfId="20"/>
    <cellStyle name="Separador de milhares 2 3" xfId="21"/>
    <cellStyle name="Separador de milhares 3" xfId="22"/>
    <cellStyle name="Separador de milhares 3 2" xfId="23"/>
    <cellStyle name="Separador de milhares 4" xfId="24"/>
    <cellStyle name="Separador de milhares 5" xfId="25"/>
    <cellStyle name="Separador de milhares 5 2" xfId="26"/>
    <cellStyle name="Separador de milhares 6" xfId="27"/>
    <cellStyle name="Separador de milhares 6 2" xfId="28"/>
    <cellStyle name="Título 1 1" xfId="29"/>
    <cellStyle name="Título 1 1 1" xfId="30"/>
    <cellStyle name="Vírgula 2" xfId="31"/>
    <cellStyle name="Vírgula 2 2" xfId="3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6.jpeg"/><Relationship Id="rId1" Type="http://schemas.openxmlformats.org/officeDocument/2006/relationships/image" Target="../media/image5.emf"/><Relationship Id="rId5" Type="http://schemas.openxmlformats.org/officeDocument/2006/relationships/image" Target="../media/image3.jpeg"/><Relationship Id="rId4" Type="http://schemas.openxmlformats.org/officeDocument/2006/relationships/image" Target="../media/image8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6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104775</xdr:colOff>
      <xdr:row>0</xdr:row>
      <xdr:rowOff>28575</xdr:rowOff>
    </xdr:from>
    <xdr:to>
      <xdr:col>8</xdr:col>
      <xdr:colOff>600074</xdr:colOff>
      <xdr:row>3</xdr:row>
      <xdr:rowOff>161925</xdr:rowOff>
    </xdr:to>
    <xdr:pic>
      <xdr:nvPicPr>
        <xdr:cNvPr id="21719" name="Imagem 1" descr="logo_2013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3625" y="28575"/>
          <a:ext cx="12001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723900</xdr:colOff>
      <xdr:row>8</xdr:row>
      <xdr:rowOff>0</xdr:rowOff>
    </xdr:from>
    <xdr:to>
      <xdr:col>1</xdr:col>
      <xdr:colOff>723900</xdr:colOff>
      <xdr:row>11</xdr:row>
      <xdr:rowOff>219075</xdr:rowOff>
    </xdr:to>
    <xdr:pic>
      <xdr:nvPicPr>
        <xdr:cNvPr id="237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2695575"/>
          <a:ext cx="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1228725</xdr:colOff>
      <xdr:row>6</xdr:row>
      <xdr:rowOff>0</xdr:rowOff>
    </xdr:from>
    <xdr:to>
      <xdr:col>4</xdr:col>
      <xdr:colOff>0</xdr:colOff>
      <xdr:row>6</xdr:row>
      <xdr:rowOff>9525</xdr:rowOff>
    </xdr:to>
    <xdr:pic>
      <xdr:nvPicPr>
        <xdr:cNvPr id="23791" name="Picture 1" descr="Brazão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010150" y="1419225"/>
          <a:ext cx="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1228725</xdr:colOff>
      <xdr:row>0</xdr:row>
      <xdr:rowOff>0</xdr:rowOff>
    </xdr:from>
    <xdr:to>
      <xdr:col>4</xdr:col>
      <xdr:colOff>9525</xdr:colOff>
      <xdr:row>0</xdr:row>
      <xdr:rowOff>9525</xdr:rowOff>
    </xdr:to>
    <xdr:pic>
      <xdr:nvPicPr>
        <xdr:cNvPr id="23792" name="Picture 1" descr="Brazã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010150" y="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1228725</xdr:colOff>
      <xdr:row>0</xdr:row>
      <xdr:rowOff>0</xdr:rowOff>
    </xdr:from>
    <xdr:to>
      <xdr:col>13</xdr:col>
      <xdr:colOff>9525</xdr:colOff>
      <xdr:row>0</xdr:row>
      <xdr:rowOff>9525</xdr:rowOff>
    </xdr:to>
    <xdr:pic>
      <xdr:nvPicPr>
        <xdr:cNvPr id="23793" name="Picture 1" descr="Brazão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449175" y="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723900</xdr:colOff>
      <xdr:row>8</xdr:row>
      <xdr:rowOff>0</xdr:rowOff>
    </xdr:from>
    <xdr:to>
      <xdr:col>11</xdr:col>
      <xdr:colOff>9525</xdr:colOff>
      <xdr:row>11</xdr:row>
      <xdr:rowOff>219075</xdr:rowOff>
    </xdr:to>
    <xdr:pic>
      <xdr:nvPicPr>
        <xdr:cNvPr id="237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29975" y="2695575"/>
          <a:ext cx="9525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219075</xdr:colOff>
      <xdr:row>0</xdr:row>
      <xdr:rowOff>57150</xdr:rowOff>
    </xdr:from>
    <xdr:to>
      <xdr:col>9</xdr:col>
      <xdr:colOff>752475</xdr:colOff>
      <xdr:row>3</xdr:row>
      <xdr:rowOff>352425</xdr:rowOff>
    </xdr:to>
    <xdr:pic>
      <xdr:nvPicPr>
        <xdr:cNvPr id="23795" name="Imagem 1" descr="logo_2013.jp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8924925" y="57150"/>
          <a:ext cx="14668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1228725</xdr:colOff>
      <xdr:row>0</xdr:row>
      <xdr:rowOff>0</xdr:rowOff>
    </xdr:from>
    <xdr:to>
      <xdr:col>3</xdr:col>
      <xdr:colOff>0</xdr:colOff>
      <xdr:row>0</xdr:row>
      <xdr:rowOff>9525</xdr:rowOff>
    </xdr:to>
    <xdr:pic>
      <xdr:nvPicPr>
        <xdr:cNvPr id="20974" name="Picture 1" descr="Brazã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3225" y="0"/>
          <a:ext cx="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76200</xdr:colOff>
      <xdr:row>0</xdr:row>
      <xdr:rowOff>0</xdr:rowOff>
    </xdr:from>
    <xdr:to>
      <xdr:col>5</xdr:col>
      <xdr:colOff>495300</xdr:colOff>
      <xdr:row>0</xdr:row>
      <xdr:rowOff>685800</xdr:rowOff>
    </xdr:to>
    <xdr:pic>
      <xdr:nvPicPr>
        <xdr:cNvPr id="20975" name="Imagem 1" descr="logo_2013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9525" y="0"/>
          <a:ext cx="11239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ratos%20Medi&#231;&#245;es%20e%20Atestado/2014/CONTRATOS/NOROESTE_CONSTRUCOES/043_2014_REFORMA_US_AROEIRA/06_MEDICAO/BM_CRONOGRAMA/BM01/P_043_2014_BM01_PLAN_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ratos%20Medi&#231;&#245;es%20e%20Atestado/2014/CONTRATOS/MONTERAZZO/085_2014_CEIM_CARMELINA_RIOS/09_ADITIVO/01_VALOR/_ARQUIVOS_ENVIADOS/PMSM_SMOIT-DE_C085_2014_ADT01_PLAN_REV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ratos%20Medi&#231;&#245;es%20e%20Atestado/GABARITOS/MEDICAO/P_XXX_XX_BMXX_0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Orçamento e Medição - MO37587"/>
      <sheetName val="RESUMO - MO37588"/>
      <sheetName val="CRON FÍSICO-FINANC"/>
      <sheetName val="Plan1"/>
    </sheetNames>
    <sheetDataSet>
      <sheetData sheetId="0">
        <row r="1">
          <cell r="J1" t="str">
            <v>SECRETARIA</v>
          </cell>
        </row>
        <row r="2">
          <cell r="J2" t="str">
            <v>SAÚDE</v>
          </cell>
        </row>
        <row r="4">
          <cell r="S4" t="str">
            <v>Data início da obra</v>
          </cell>
        </row>
        <row r="5">
          <cell r="S5">
            <v>41814</v>
          </cell>
        </row>
        <row r="6">
          <cell r="S6" t="str">
            <v>Prazo de execução</v>
          </cell>
        </row>
        <row r="9">
          <cell r="S9" t="str">
            <v>Boletim de Medição</v>
          </cell>
        </row>
        <row r="10">
          <cell r="G10" t="str">
            <v>Orçamento inicial</v>
          </cell>
          <cell r="J10" t="str">
            <v>Reprogramação</v>
          </cell>
          <cell r="S10" t="str">
            <v>Informe a QUANTIDADE EXECUTADA dos serviços durante o período (evolução física da obra)</v>
          </cell>
        </row>
        <row r="11">
          <cell r="H11" t="str">
            <v>preço</v>
          </cell>
          <cell r="J11" t="str">
            <v>nova</v>
          </cell>
          <cell r="K11" t="str">
            <v>novo preço</v>
          </cell>
          <cell r="L11" t="str">
            <v>aprov</v>
          </cell>
          <cell r="S11" t="str">
            <v>medição</v>
          </cell>
        </row>
        <row r="12">
          <cell r="G12" t="str">
            <v>quant</v>
          </cell>
          <cell r="H12" t="str">
            <v>unitário</v>
          </cell>
          <cell r="J12" t="str">
            <v>quant</v>
          </cell>
          <cell r="K12" t="str">
            <v>unitário</v>
          </cell>
          <cell r="S12">
            <v>1</v>
          </cell>
        </row>
        <row r="14">
          <cell r="B14">
            <v>1</v>
          </cell>
          <cell r="D14" t="str">
            <v>SERVIÇOS PRELIMINARES</v>
          </cell>
          <cell r="M14" t="str">
            <v/>
          </cell>
          <cell r="O14" t="str">
            <v/>
          </cell>
          <cell r="P14" t="str">
            <v/>
          </cell>
          <cell r="Q14" t="str">
            <v/>
          </cell>
        </row>
        <row r="15">
          <cell r="B15" t="str">
            <v>1.1</v>
          </cell>
          <cell r="D15" t="str">
            <v>Placa de obra em chapa de aco galvanizado</v>
          </cell>
          <cell r="E15" t="str">
            <v>m²</v>
          </cell>
          <cell r="F15" t="str">
            <v>m²</v>
          </cell>
          <cell r="G15">
            <v>2</v>
          </cell>
          <cell r="H15">
            <v>295.21559999999999</v>
          </cell>
          <cell r="M15">
            <v>590.43119999999999</v>
          </cell>
          <cell r="O15">
            <v>0</v>
          </cell>
          <cell r="P15">
            <v>0</v>
          </cell>
          <cell r="Q15">
            <v>0</v>
          </cell>
        </row>
        <row r="16">
          <cell r="B16" t="str">
            <v>1.2</v>
          </cell>
          <cell r="D16" t="str">
            <v>Locacao convencional de obra, através de gabarito de tabuas corridas pontaletadas, sem reaproveitamento</v>
          </cell>
          <cell r="E16" t="str">
            <v>m²</v>
          </cell>
          <cell r="F16" t="str">
            <v>m²</v>
          </cell>
          <cell r="G16">
            <v>79.81</v>
          </cell>
          <cell r="H16">
            <v>8.8083999999999989</v>
          </cell>
          <cell r="M16">
            <v>702.99840399999994</v>
          </cell>
          <cell r="O16">
            <v>0</v>
          </cell>
          <cell r="P16">
            <v>0</v>
          </cell>
          <cell r="Q16">
            <v>0</v>
          </cell>
        </row>
        <row r="17">
          <cell r="B17">
            <v>2</v>
          </cell>
          <cell r="D17" t="str">
            <v>DEMOLIÇÕES E RETIRADAS</v>
          </cell>
          <cell r="I17" t="str">
            <v>TOTAL GERAL</v>
          </cell>
          <cell r="M17" t="str">
            <v/>
          </cell>
          <cell r="O17" t="str">
            <v/>
          </cell>
          <cell r="P17" t="str">
            <v/>
          </cell>
          <cell r="Q17" t="str">
            <v/>
          </cell>
        </row>
        <row r="18">
          <cell r="B18" t="str">
            <v>2.1</v>
          </cell>
          <cell r="D18" t="str">
            <v>DEMOLICAO DE ALVENARIA DE TIJOLOS FURADOS S/REAPROVEITAMENTO</v>
          </cell>
          <cell r="E18" t="str">
            <v>m³</v>
          </cell>
          <cell r="G18">
            <v>4.32</v>
          </cell>
          <cell r="H18">
            <v>46.36</v>
          </cell>
          <cell r="I18">
            <v>80</v>
          </cell>
          <cell r="M18">
            <v>200.27520000000001</v>
          </cell>
          <cell r="O18">
            <v>0</v>
          </cell>
          <cell r="P18">
            <v>0</v>
          </cell>
          <cell r="Q18">
            <v>0</v>
          </cell>
        </row>
        <row r="19">
          <cell r="B19" t="str">
            <v>2.2</v>
          </cell>
          <cell r="D19" t="str">
            <v>Retirada de bancada de pia</v>
          </cell>
          <cell r="E19" t="str">
            <v>m²</v>
          </cell>
          <cell r="G19">
            <v>2.68</v>
          </cell>
          <cell r="H19">
            <v>11.333799999999998</v>
          </cell>
          <cell r="I19">
            <v>80</v>
          </cell>
          <cell r="M19">
            <v>30.374583999999999</v>
          </cell>
          <cell r="O19">
            <v>0</v>
          </cell>
          <cell r="P19">
            <v>0</v>
          </cell>
          <cell r="Q19">
            <v>0</v>
          </cell>
        </row>
        <row r="20">
          <cell r="B20" t="str">
            <v>2.3</v>
          </cell>
          <cell r="D20" t="str">
            <v>REMOÇÃO DE PINTURA PVA/ACRILICA ( Remoção de tinta a óleo ou  PVA)</v>
          </cell>
          <cell r="E20" t="str">
            <v>m²</v>
          </cell>
          <cell r="G20">
            <v>360.59</v>
          </cell>
          <cell r="H20">
            <v>4.2821999999999996</v>
          </cell>
          <cell r="I20">
            <v>80</v>
          </cell>
          <cell r="M20">
            <v>1544.1184979999998</v>
          </cell>
          <cell r="O20">
            <v>0</v>
          </cell>
          <cell r="P20">
            <v>0</v>
          </cell>
          <cell r="Q20">
            <v>0</v>
          </cell>
        </row>
        <row r="21">
          <cell r="B21" t="str">
            <v>2.4</v>
          </cell>
          <cell r="D21" t="str">
            <v>DEMOLICAO DE CAMADA DE ASSENTAMENTO/CONTRAPISO COM USO DE PONTEIRO, ESPESSURA ATE 4CM</v>
          </cell>
          <cell r="E21" t="str">
            <v>m²</v>
          </cell>
          <cell r="G21">
            <v>40.04</v>
          </cell>
          <cell r="H21">
            <v>11.980399999999999</v>
          </cell>
          <cell r="I21">
            <v>80</v>
          </cell>
          <cell r="M21">
            <v>479.69521599999996</v>
          </cell>
          <cell r="O21">
            <v>0</v>
          </cell>
          <cell r="P21">
            <v>0</v>
          </cell>
          <cell r="Q21">
            <v>0</v>
          </cell>
        </row>
        <row r="22">
          <cell r="B22" t="str">
            <v>2.5</v>
          </cell>
          <cell r="D22" t="str">
            <v>RETIRADA DE FORRO EM REGUAS DE PVC, INCLUSIVE RETIRADA DE PERFIS</v>
          </cell>
          <cell r="E22" t="str">
            <v>m²</v>
          </cell>
          <cell r="G22">
            <v>87.07</v>
          </cell>
          <cell r="H22">
            <v>4.1479999999999997</v>
          </cell>
          <cell r="I22">
            <v>80</v>
          </cell>
          <cell r="M22">
            <v>361.16635999999994</v>
          </cell>
          <cell r="O22">
            <v>0</v>
          </cell>
          <cell r="P22">
            <v>0</v>
          </cell>
          <cell r="Q22">
            <v>0</v>
          </cell>
        </row>
        <row r="23">
          <cell r="B23" t="str">
            <v>2.6</v>
          </cell>
          <cell r="D23" t="str">
            <v>RETIRADA DE TELHAS DE CERAMICAS OU DE VIDRO (INCLUSIVE ESTRUTURA)</v>
          </cell>
          <cell r="E23" t="str">
            <v>m²</v>
          </cell>
          <cell r="G23">
            <v>135.91</v>
          </cell>
          <cell r="H23">
            <v>3.9893999999999998</v>
          </cell>
          <cell r="I23">
            <v>80</v>
          </cell>
          <cell r="M23">
            <v>542.19935399999997</v>
          </cell>
          <cell r="O23">
            <v>0</v>
          </cell>
          <cell r="P23">
            <v>0</v>
          </cell>
          <cell r="Q23">
            <v>0</v>
          </cell>
        </row>
        <row r="24">
          <cell r="B24" t="str">
            <v>2.7</v>
          </cell>
          <cell r="D24" t="str">
            <v>Retirada de grades, gradis, alambrados, cercas e portões</v>
          </cell>
          <cell r="E24" t="str">
            <v>m²</v>
          </cell>
          <cell r="G24">
            <v>1.81</v>
          </cell>
          <cell r="H24">
            <v>7.9909999999999997</v>
          </cell>
          <cell r="I24">
            <v>80</v>
          </cell>
          <cell r="M24">
            <v>14.463709999999999</v>
          </cell>
          <cell r="O24">
            <v>0</v>
          </cell>
          <cell r="P24">
            <v>0</v>
          </cell>
          <cell r="Q24">
            <v>0</v>
          </cell>
        </row>
        <row r="25">
          <cell r="B25">
            <v>3</v>
          </cell>
          <cell r="D25" t="str">
            <v xml:space="preserve">MOVIMENTO DE TERRA </v>
          </cell>
          <cell r="M25" t="str">
            <v/>
          </cell>
          <cell r="O25" t="str">
            <v/>
          </cell>
          <cell r="P25" t="str">
            <v/>
          </cell>
          <cell r="Q25" t="str">
            <v/>
          </cell>
        </row>
        <row r="26">
          <cell r="B26" t="str">
            <v>3.1</v>
          </cell>
          <cell r="D26" t="str">
            <v>Escavacao manual de vala em  material de 1a categoria ate 1,5m excluindo esgotamento / escoramento</v>
          </cell>
          <cell r="E26" t="str">
            <v>m³</v>
          </cell>
          <cell r="G26">
            <v>1.42</v>
          </cell>
          <cell r="H26">
            <v>31.21</v>
          </cell>
          <cell r="I26">
            <v>8</v>
          </cell>
          <cell r="M26">
            <v>44.318199999999997</v>
          </cell>
          <cell r="O26">
            <v>0</v>
          </cell>
          <cell r="P26">
            <v>0</v>
          </cell>
          <cell r="Q26">
            <v>0</v>
          </cell>
        </row>
        <row r="27">
          <cell r="B27">
            <v>4</v>
          </cell>
          <cell r="D27" t="str">
            <v xml:space="preserve">ESTRUTURA </v>
          </cell>
          <cell r="M27" t="str">
            <v/>
          </cell>
          <cell r="O27" t="str">
            <v/>
          </cell>
          <cell r="P27" t="str">
            <v/>
          </cell>
          <cell r="Q27" t="str">
            <v/>
          </cell>
        </row>
        <row r="28">
          <cell r="B28" t="str">
            <v>4.1</v>
          </cell>
          <cell r="D28" t="str">
            <v>INFRA-ESTRUTURA  (FUNDAÇÃO)</v>
          </cell>
          <cell r="M28" t="str">
            <v/>
          </cell>
          <cell r="O28" t="str">
            <v/>
          </cell>
          <cell r="P28" t="str">
            <v/>
          </cell>
          <cell r="Q28" t="str">
            <v/>
          </cell>
        </row>
        <row r="29">
          <cell r="B29" t="str">
            <v>4.1.1</v>
          </cell>
          <cell r="D29" t="str">
            <v>Concreto usinado bombeado fck=25mpa, inclusive lancamento e adensamento</v>
          </cell>
          <cell r="E29" t="str">
            <v>m³</v>
          </cell>
          <cell r="G29">
            <v>76.849999999999994</v>
          </cell>
          <cell r="H29">
            <v>388</v>
          </cell>
          <cell r="I29">
            <v>2</v>
          </cell>
          <cell r="M29">
            <v>29817.8</v>
          </cell>
          <cell r="O29">
            <v>0</v>
          </cell>
          <cell r="P29">
            <v>0</v>
          </cell>
          <cell r="Q29">
            <v>0</v>
          </cell>
        </row>
        <row r="30">
          <cell r="B30" t="str">
            <v>4.1.2</v>
          </cell>
          <cell r="D30" t="str">
            <v>Concreto fck=15mpa (1:2,5:3) , incluido preparo mecanico, lancamento e adensamento - Concreto magro</v>
          </cell>
          <cell r="E30" t="str">
            <v>m³</v>
          </cell>
          <cell r="G30">
            <v>4.6100000000000003</v>
          </cell>
          <cell r="H30">
            <v>410.1</v>
          </cell>
          <cell r="I30">
            <v>2</v>
          </cell>
          <cell r="M30">
            <v>1890.5610000000001</v>
          </cell>
          <cell r="O30">
            <v>0</v>
          </cell>
          <cell r="P30">
            <v>0</v>
          </cell>
          <cell r="Q30">
            <v>0</v>
          </cell>
        </row>
        <row r="31">
          <cell r="B31" t="str">
            <v>4.1.3</v>
          </cell>
          <cell r="D31" t="str">
            <v xml:space="preserve">Forma tabua para concreto em fundacao, c/ reaproveitamento 2x. </v>
          </cell>
          <cell r="E31" t="str">
            <v>m²</v>
          </cell>
          <cell r="G31">
            <v>221.92</v>
          </cell>
          <cell r="H31">
            <v>59.55</v>
          </cell>
          <cell r="I31">
            <v>2</v>
          </cell>
          <cell r="M31">
            <v>13215.335999999999</v>
          </cell>
          <cell r="O31">
            <v>0</v>
          </cell>
          <cell r="P31">
            <v>0</v>
          </cell>
          <cell r="Q31">
            <v>0</v>
          </cell>
        </row>
        <row r="32">
          <cell r="B32" t="str">
            <v>4.1.4</v>
          </cell>
          <cell r="D32" t="str">
            <v>Armacao aco ca-50 diam.16,0 (5/8) à 25,0mm (1) - fornecimento/ corte(perda de 10%) / dobra / colocação</v>
          </cell>
          <cell r="E32" t="str">
            <v>kg</v>
          </cell>
          <cell r="G32">
            <v>898.3</v>
          </cell>
          <cell r="H32">
            <v>6.6</v>
          </cell>
          <cell r="I32">
            <v>2</v>
          </cell>
          <cell r="M32">
            <v>5928.78</v>
          </cell>
          <cell r="O32">
            <v>0</v>
          </cell>
          <cell r="P32">
            <v>0</v>
          </cell>
          <cell r="Q32">
            <v>0</v>
          </cell>
        </row>
        <row r="33">
          <cell r="B33" t="str">
            <v>4.2</v>
          </cell>
          <cell r="D33" t="str">
            <v>SUPER-ESTRUTURA</v>
          </cell>
          <cell r="M33" t="str">
            <v/>
          </cell>
          <cell r="O33" t="str">
            <v/>
          </cell>
          <cell r="P33" t="str">
            <v/>
          </cell>
          <cell r="Q33" t="str">
            <v/>
          </cell>
        </row>
        <row r="34">
          <cell r="B34" t="str">
            <v>4.2.3</v>
          </cell>
          <cell r="D34" t="str">
            <v>Concreto usinado bombeado fck=25mpa, inclusive lancamento e adensamento</v>
          </cell>
          <cell r="E34" t="str">
            <v>m³</v>
          </cell>
          <cell r="G34">
            <v>16.329999999999998</v>
          </cell>
          <cell r="H34">
            <v>387</v>
          </cell>
          <cell r="I34">
            <v>2</v>
          </cell>
          <cell r="M34">
            <v>6319.7099999999991</v>
          </cell>
          <cell r="O34">
            <v>0</v>
          </cell>
          <cell r="P34">
            <v>0</v>
          </cell>
          <cell r="Q34">
            <v>0</v>
          </cell>
        </row>
        <row r="35">
          <cell r="B35" t="str">
            <v>4.2.4</v>
          </cell>
          <cell r="D35" t="str">
            <v>Armacao aco ca-50 diam.16,0 (5/8) à 25,0mm (1) - fornecimento/ corte(perda de 10%) / dobra / colocação.</v>
          </cell>
          <cell r="E35" t="str">
            <v>kg</v>
          </cell>
          <cell r="G35">
            <v>2870.3</v>
          </cell>
          <cell r="H35">
            <v>6.6</v>
          </cell>
          <cell r="I35">
            <v>2</v>
          </cell>
          <cell r="M35">
            <v>18943.98</v>
          </cell>
          <cell r="O35">
            <v>0</v>
          </cell>
          <cell r="P35">
            <v>0</v>
          </cell>
          <cell r="Q35">
            <v>0</v>
          </cell>
        </row>
        <row r="36">
          <cell r="B36" t="str">
            <v>4.2.5</v>
          </cell>
          <cell r="D36" t="str">
            <v>Armacao de aco ca-60 diam. 3,4 a 6,0mm.- fornecimento / corte (c/perda de 10%) / dobra / colocação.</v>
          </cell>
          <cell r="E36" t="str">
            <v>kg</v>
          </cell>
          <cell r="G36">
            <v>548.9</v>
          </cell>
          <cell r="H36">
            <v>8</v>
          </cell>
          <cell r="I36">
            <v>2</v>
          </cell>
          <cell r="M36">
            <v>4391.2</v>
          </cell>
          <cell r="O36">
            <v>0</v>
          </cell>
          <cell r="P36">
            <v>0</v>
          </cell>
          <cell r="Q36">
            <v>0</v>
          </cell>
        </row>
        <row r="37">
          <cell r="B37" t="str">
            <v>4.2.6</v>
          </cell>
          <cell r="D37" t="str">
            <v>Forma para estruturas de concreto (pilar, viga e laje) em chapa de madeira compensada resinada, de 1,10 x 2,20, espessura = 12 mm, 03 utilizacoes. (fabricacao, montagem e desmontagem)</v>
          </cell>
          <cell r="E37" t="str">
            <v>m²</v>
          </cell>
          <cell r="G37">
            <v>376.43</v>
          </cell>
          <cell r="H37">
            <v>40.200000000000003</v>
          </cell>
          <cell r="I37">
            <v>2</v>
          </cell>
          <cell r="M37">
            <v>15132.486000000001</v>
          </cell>
          <cell r="O37">
            <v>0</v>
          </cell>
          <cell r="P37">
            <v>0</v>
          </cell>
          <cell r="Q37">
            <v>0</v>
          </cell>
        </row>
        <row r="38">
          <cell r="B38" t="str">
            <v>4.2.7</v>
          </cell>
          <cell r="D38" t="str">
            <v>Laje pre-moldada p/forro, sobrecarga 100kg/m2, vaos ate 3,50m/e=8cm, c/lajotas e cap.c/conc fck=20mpa, 3cm, inter-eixo 38cm, c/escoramento (Reapr.3x) e ferragem negativa</v>
          </cell>
          <cell r="E38" t="str">
            <v>m²</v>
          </cell>
          <cell r="G38">
            <v>384.4</v>
          </cell>
          <cell r="H38">
            <v>57.45</v>
          </cell>
          <cell r="I38">
            <v>2</v>
          </cell>
          <cell r="M38">
            <v>22083.78</v>
          </cell>
          <cell r="O38">
            <v>0</v>
          </cell>
          <cell r="P38">
            <v>0</v>
          </cell>
          <cell r="Q38">
            <v>0</v>
          </cell>
        </row>
        <row r="39">
          <cell r="B39">
            <v>5</v>
          </cell>
          <cell r="D39" t="str">
            <v>ALVENARIA DE VEDAÇÃO E REVESTIMENTOS</v>
          </cell>
          <cell r="M39" t="str">
            <v/>
          </cell>
          <cell r="O39" t="str">
            <v/>
          </cell>
          <cell r="P39" t="str">
            <v/>
          </cell>
          <cell r="Q39" t="str">
            <v/>
          </cell>
        </row>
        <row r="40">
          <cell r="B40" t="str">
            <v>5.1</v>
          </cell>
          <cell r="D40" t="str">
            <v xml:space="preserve">Alvenaria em tijolo ceramico furado 9x9x19cm,1/2 vez (espessura 9 cm), assentado em argamassa traco 1:4 (cimento e areia media nao peneirada), preparo manual, junta 1cm
</v>
          </cell>
          <cell r="E40" t="str">
            <v>m²</v>
          </cell>
          <cell r="G40">
            <v>890.97</v>
          </cell>
          <cell r="H40">
            <v>56.95</v>
          </cell>
          <cell r="I40">
            <v>12</v>
          </cell>
          <cell r="M40">
            <v>50740.741500000004</v>
          </cell>
          <cell r="O40">
            <v>0</v>
          </cell>
          <cell r="P40">
            <v>0</v>
          </cell>
          <cell r="Q40">
            <v>0</v>
          </cell>
        </row>
        <row r="41">
          <cell r="B41" t="str">
            <v>5.2</v>
          </cell>
          <cell r="D41" t="str">
            <v>Verga e contra verga 10x10cm em concreto pré-moldado fck=20mpa (preparo com betoneira) aço ca60, bitola fina, inclusive formas tabua 3a.</v>
          </cell>
          <cell r="E41" t="str">
            <v>m</v>
          </cell>
          <cell r="G41">
            <v>106.15</v>
          </cell>
          <cell r="H41">
            <v>16</v>
          </cell>
          <cell r="I41">
            <v>12</v>
          </cell>
          <cell r="M41">
            <v>1698.4</v>
          </cell>
          <cell r="O41">
            <v>0</v>
          </cell>
          <cell r="P41">
            <v>0</v>
          </cell>
          <cell r="Q41">
            <v>0</v>
          </cell>
        </row>
        <row r="42">
          <cell r="B42" t="str">
            <v>5.3</v>
          </cell>
          <cell r="D42" t="str">
            <v>Chapisco traco 1:3 (cimento e areia media), espessura 0,5cm, preparo mecanico da argamassa</v>
          </cell>
          <cell r="E42" t="str">
            <v>m²</v>
          </cell>
          <cell r="G42">
            <v>1781.94</v>
          </cell>
          <cell r="H42">
            <v>4.2</v>
          </cell>
          <cell r="I42">
            <v>12</v>
          </cell>
          <cell r="M42">
            <v>7484.1480000000001</v>
          </cell>
          <cell r="O42">
            <v>0</v>
          </cell>
          <cell r="P42">
            <v>0</v>
          </cell>
          <cell r="Q42">
            <v>0</v>
          </cell>
        </row>
        <row r="43">
          <cell r="B43" t="str">
            <v>5.4</v>
          </cell>
          <cell r="D43" t="str">
            <v>Emboco paulista (massa unica) traco 1:2:8 (cimento, cal e areia media), espessura 2,0cm, preparo manual da argamassa</v>
          </cell>
          <cell r="E43" t="str">
            <v>m²</v>
          </cell>
          <cell r="G43">
            <v>1552.53</v>
          </cell>
          <cell r="H43">
            <v>20.399999999999999</v>
          </cell>
          <cell r="I43">
            <v>12</v>
          </cell>
          <cell r="M43">
            <v>31671.611999999997</v>
          </cell>
          <cell r="O43">
            <v>0</v>
          </cell>
          <cell r="P43">
            <v>0</v>
          </cell>
          <cell r="Q43">
            <v>0</v>
          </cell>
        </row>
        <row r="44">
          <cell r="B44" t="str">
            <v>5.5</v>
          </cell>
          <cell r="D44" t="str">
            <v>Emboco traco 1:2:8 (cimento, cal e areia media), espessura 2,0cm, preparo mecanico da argamassa</v>
          </cell>
          <cell r="E44" t="str">
            <v>m²</v>
          </cell>
          <cell r="G44">
            <v>229.41</v>
          </cell>
          <cell r="H44">
            <v>19.5</v>
          </cell>
          <cell r="I44">
            <v>12</v>
          </cell>
          <cell r="M44">
            <v>4473.4949999999999</v>
          </cell>
          <cell r="O44">
            <v>0</v>
          </cell>
          <cell r="P44">
            <v>0</v>
          </cell>
          <cell r="Q44">
            <v>0</v>
          </cell>
        </row>
        <row r="45">
          <cell r="B45" t="str">
            <v>5.6</v>
          </cell>
          <cell r="D45" t="str">
            <v>Azulejo 15x15cm, 1a qualidade, assentado com argamassa pre-fabricada e cimento colante, juntas a prumo, incluindo servico de rejuntamento com cimento branco</v>
          </cell>
          <cell r="E45" t="str">
            <v>m²</v>
          </cell>
          <cell r="G45">
            <v>229.41</v>
          </cell>
          <cell r="H45">
            <v>30.09</v>
          </cell>
          <cell r="I45">
            <v>12</v>
          </cell>
          <cell r="M45">
            <v>6902.9468999999999</v>
          </cell>
          <cell r="O45">
            <v>0</v>
          </cell>
          <cell r="P45">
            <v>0</v>
          </cell>
          <cell r="Q45">
            <v>0</v>
          </cell>
        </row>
        <row r="46">
          <cell r="B46">
            <v>6</v>
          </cell>
          <cell r="D46" t="str">
            <v>COBERTURA</v>
          </cell>
          <cell r="M46" t="str">
            <v/>
          </cell>
          <cell r="O46" t="str">
            <v/>
          </cell>
          <cell r="P46" t="str">
            <v/>
          </cell>
          <cell r="Q46" t="str">
            <v/>
          </cell>
        </row>
        <row r="47">
          <cell r="B47" t="str">
            <v>6.1</v>
          </cell>
          <cell r="D47" t="str">
            <v>Estrutura em madeira aparelhada, para telha ondulada de fibrocimento, aluminio ou plastica, apoiada em laje ou parede</v>
          </cell>
          <cell r="E47" t="str">
            <v>m2</v>
          </cell>
          <cell r="G47">
            <v>378.97</v>
          </cell>
          <cell r="H47">
            <v>48.35</v>
          </cell>
          <cell r="I47">
            <v>12</v>
          </cell>
          <cell r="M47">
            <v>18323.199500000002</v>
          </cell>
          <cell r="O47">
            <v>0</v>
          </cell>
          <cell r="P47">
            <v>0</v>
          </cell>
          <cell r="Q47">
            <v>0</v>
          </cell>
        </row>
        <row r="48">
          <cell r="B48" t="str">
            <v>6.2</v>
          </cell>
          <cell r="D48" t="str">
            <v>Cobertura com telha de fibrocimento ondulada, espessura 6 mm, com cumeeira universal, incluindo acessórios, excluindo madeiramento.</v>
          </cell>
          <cell r="E48" t="str">
            <v>m2</v>
          </cell>
          <cell r="G48">
            <v>378.97</v>
          </cell>
          <cell r="H48">
            <v>48</v>
          </cell>
          <cell r="I48">
            <v>12</v>
          </cell>
          <cell r="M48">
            <v>18190.560000000001</v>
          </cell>
          <cell r="O48">
            <v>0</v>
          </cell>
          <cell r="P48">
            <v>0</v>
          </cell>
          <cell r="Q48">
            <v>0</v>
          </cell>
        </row>
        <row r="49">
          <cell r="B49" t="str">
            <v>6.3</v>
          </cell>
          <cell r="D49" t="str">
            <v xml:space="preserve">Cobertura com telha colonial, excluindo madeiramento </v>
          </cell>
          <cell r="E49" t="str">
            <v>m²</v>
          </cell>
          <cell r="G49">
            <v>4.84</v>
          </cell>
          <cell r="H49">
            <v>36.1</v>
          </cell>
          <cell r="I49">
            <v>12</v>
          </cell>
          <cell r="M49">
            <v>174.72399999999999</v>
          </cell>
          <cell r="O49">
            <v>0</v>
          </cell>
          <cell r="P49">
            <v>0</v>
          </cell>
          <cell r="Q49">
            <v>0</v>
          </cell>
        </row>
        <row r="50">
          <cell r="B50" t="str">
            <v>6.4</v>
          </cell>
          <cell r="D50" t="str">
            <v>Estrutura em madeira aparelhada, para telha ceramica, apoiada em parede</v>
          </cell>
          <cell r="E50" t="str">
            <v>m²</v>
          </cell>
          <cell r="G50">
            <v>4.84</v>
          </cell>
          <cell r="H50">
            <v>89.8</v>
          </cell>
          <cell r="I50">
            <v>12</v>
          </cell>
          <cell r="M50">
            <v>434.63199999999995</v>
          </cell>
          <cell r="O50">
            <v>0</v>
          </cell>
          <cell r="P50">
            <v>0</v>
          </cell>
          <cell r="Q50">
            <v>0</v>
          </cell>
        </row>
        <row r="51">
          <cell r="B51" t="str">
            <v>6.5</v>
          </cell>
          <cell r="D51" t="str">
            <v>Forro de gesso em placas 60x60cm, espessura 1,2cm, inclusive fixacao com arame</v>
          </cell>
          <cell r="E51" t="str">
            <v>m²</v>
          </cell>
          <cell r="G51">
            <v>353.31</v>
          </cell>
          <cell r="H51">
            <v>24</v>
          </cell>
          <cell r="I51">
            <v>12</v>
          </cell>
          <cell r="M51">
            <v>8479.44</v>
          </cell>
          <cell r="O51">
            <v>0</v>
          </cell>
          <cell r="P51">
            <v>0</v>
          </cell>
          <cell r="Q51">
            <v>0</v>
          </cell>
        </row>
        <row r="52">
          <cell r="B52" t="str">
            <v>6.6</v>
          </cell>
          <cell r="D52" t="str">
            <v>Rufo de concreto armado, largura de 40cm, espessura de 3cm</v>
          </cell>
          <cell r="E52" t="str">
            <v>m</v>
          </cell>
          <cell r="G52">
            <v>118.4</v>
          </cell>
          <cell r="H52">
            <v>25.36</v>
          </cell>
          <cell r="I52">
            <v>12</v>
          </cell>
          <cell r="M52">
            <v>3002.6240000000003</v>
          </cell>
          <cell r="O52">
            <v>0</v>
          </cell>
          <cell r="P52">
            <v>0</v>
          </cell>
          <cell r="Q52">
            <v>0</v>
          </cell>
        </row>
        <row r="53">
          <cell r="B53" t="str">
            <v>6.7</v>
          </cell>
          <cell r="D53" t="str">
            <v>Chapim de concreto aparente com acabamento desempenado, forma de compensado plastificado (madeirit) de 14 x 10 cm, fundido no local.</v>
          </cell>
          <cell r="E53" t="str">
            <v>m</v>
          </cell>
          <cell r="G53">
            <v>101.59</v>
          </cell>
          <cell r="H53">
            <v>23</v>
          </cell>
          <cell r="I53">
            <v>12</v>
          </cell>
          <cell r="M53">
            <v>2336.5700000000002</v>
          </cell>
          <cell r="O53">
            <v>0</v>
          </cell>
          <cell r="P53">
            <v>0</v>
          </cell>
          <cell r="Q53">
            <v>0</v>
          </cell>
        </row>
        <row r="54">
          <cell r="B54" t="str">
            <v>6.8</v>
          </cell>
          <cell r="D54" t="str">
            <v>Calha de concreto, 40x15 cm espessura de 8 cm, preparado em betoneira e cimentado liso executado com argamassa traco 1:4 (cimento e areia media nao peneirada), preparo manual</v>
          </cell>
          <cell r="E54" t="str">
            <v>m</v>
          </cell>
          <cell r="G54">
            <v>46.7</v>
          </cell>
          <cell r="H54">
            <v>119</v>
          </cell>
          <cell r="I54">
            <v>12</v>
          </cell>
          <cell r="M54">
            <v>5557.3</v>
          </cell>
          <cell r="O54">
            <v>0</v>
          </cell>
          <cell r="P54">
            <v>0</v>
          </cell>
          <cell r="Q54">
            <v>0</v>
          </cell>
        </row>
        <row r="55">
          <cell r="B55" t="str">
            <v>6.9</v>
          </cell>
          <cell r="D55" t="str">
            <v xml:space="preserve">Impermeabilizacao calhas/lajes descoberta c/3 demaos vedapren preto </v>
          </cell>
          <cell r="E55" t="str">
            <v>m²</v>
          </cell>
          <cell r="G55">
            <v>32.69</v>
          </cell>
          <cell r="H55">
            <v>24.99</v>
          </cell>
          <cell r="I55">
            <v>12</v>
          </cell>
          <cell r="M55">
            <v>816.92309999999986</v>
          </cell>
          <cell r="O55">
            <v>0</v>
          </cell>
          <cell r="P55">
            <v>0</v>
          </cell>
          <cell r="Q55">
            <v>0</v>
          </cell>
        </row>
        <row r="56">
          <cell r="B56">
            <v>7</v>
          </cell>
          <cell r="D56" t="str">
            <v>INSTALAÇÕES ELÉTRICAS / REDE LÓGICA E TELEFONICA</v>
          </cell>
          <cell r="M56" t="str">
            <v/>
          </cell>
          <cell r="O56" t="str">
            <v/>
          </cell>
          <cell r="P56" t="str">
            <v/>
          </cell>
          <cell r="Q56" t="str">
            <v/>
          </cell>
        </row>
        <row r="57">
          <cell r="B57" t="str">
            <v>7.1</v>
          </cell>
          <cell r="D57" t="str">
            <v>Cabo de cobre isolado pvc 450/750v 2,5mm2 resistente a chama - fornecimento e instalação</v>
          </cell>
          <cell r="E57" t="str">
            <v>m</v>
          </cell>
          <cell r="G57">
            <v>1722</v>
          </cell>
          <cell r="H57">
            <v>2.5</v>
          </cell>
          <cell r="I57">
            <v>12</v>
          </cell>
          <cell r="M57">
            <v>4305</v>
          </cell>
          <cell r="O57">
            <v>0</v>
          </cell>
          <cell r="P57">
            <v>0</v>
          </cell>
          <cell r="Q57">
            <v>0</v>
          </cell>
        </row>
        <row r="58">
          <cell r="B58" t="str">
            <v>7.2</v>
          </cell>
          <cell r="D58" t="str">
            <v>cabo de cobre isolado pvc 450/750v 6mm2 resistente a chama - fornecimento e instalacao</v>
          </cell>
          <cell r="E58" t="str">
            <v>m</v>
          </cell>
          <cell r="G58">
            <v>265</v>
          </cell>
          <cell r="H58">
            <v>5.0999999999999996</v>
          </cell>
          <cell r="I58">
            <v>12</v>
          </cell>
          <cell r="M58">
            <v>1351.5</v>
          </cell>
          <cell r="O58">
            <v>0</v>
          </cell>
          <cell r="P58">
            <v>0</v>
          </cell>
          <cell r="Q58">
            <v>0</v>
          </cell>
        </row>
        <row r="59">
          <cell r="B59" t="str">
            <v>7.3</v>
          </cell>
          <cell r="D59" t="str">
            <v xml:space="preserve">cabo de cobre isolado pvc 450/750v 10mm2 resistente a chama - fornecim ento e instalacao </v>
          </cell>
          <cell r="E59" t="str">
            <v>m</v>
          </cell>
          <cell r="G59">
            <v>95</v>
          </cell>
          <cell r="H59">
            <v>8.1</v>
          </cell>
          <cell r="I59">
            <v>12</v>
          </cell>
          <cell r="M59">
            <v>769.5</v>
          </cell>
          <cell r="O59">
            <v>0</v>
          </cell>
          <cell r="P59">
            <v>0</v>
          </cell>
          <cell r="Q59">
            <v>0</v>
          </cell>
        </row>
        <row r="60">
          <cell r="B60" t="str">
            <v>7.4</v>
          </cell>
          <cell r="D60" t="str">
            <v xml:space="preserve">cabo de cobre isolado pvc 450/750v 4mm2 resistente a chama - fornecim ento e instalacao </v>
          </cell>
          <cell r="E60" t="str">
            <v>m</v>
          </cell>
          <cell r="G60">
            <v>170</v>
          </cell>
          <cell r="H60">
            <v>3.8</v>
          </cell>
          <cell r="I60">
            <v>12</v>
          </cell>
          <cell r="M60">
            <v>646</v>
          </cell>
          <cell r="O60">
            <v>0</v>
          </cell>
          <cell r="P60">
            <v>0</v>
          </cell>
          <cell r="Q60">
            <v>0</v>
          </cell>
        </row>
        <row r="61">
          <cell r="B61" t="str">
            <v>7.5</v>
          </cell>
          <cell r="D61" t="str">
            <v>cabo de cobre isolado pvc 450/750v 16mm2 resistente a chama - fornecimento e instalacao</v>
          </cell>
          <cell r="E61" t="str">
            <v>m</v>
          </cell>
          <cell r="G61">
            <v>67</v>
          </cell>
          <cell r="H61">
            <v>9.6</v>
          </cell>
          <cell r="I61">
            <v>12</v>
          </cell>
          <cell r="M61">
            <v>643.19999999999993</v>
          </cell>
          <cell r="O61">
            <v>0</v>
          </cell>
          <cell r="P61">
            <v>0</v>
          </cell>
          <cell r="Q61">
            <v>0</v>
          </cell>
        </row>
        <row r="62">
          <cell r="B62" t="str">
            <v>7.6</v>
          </cell>
          <cell r="D62" t="str">
            <v>Cabo telefonico cci-50 6 pares (uso interno) - fornecimento e instalacao</v>
          </cell>
          <cell r="E62" t="str">
            <v>m</v>
          </cell>
          <cell r="G62">
            <v>240</v>
          </cell>
          <cell r="H62">
            <v>2.5</v>
          </cell>
          <cell r="I62">
            <v>12</v>
          </cell>
          <cell r="M62">
            <v>600</v>
          </cell>
          <cell r="O62">
            <v>0</v>
          </cell>
          <cell r="P62">
            <v>0</v>
          </cell>
          <cell r="Q62">
            <v>0</v>
          </cell>
        </row>
        <row r="63">
          <cell r="B63" t="str">
            <v>7.7</v>
          </cell>
          <cell r="D63" t="str">
            <v xml:space="preserve">Caixa de passagem de PVC 4x2" - Fornecimento e Instalação </v>
          </cell>
          <cell r="E63" t="str">
            <v>unid.</v>
          </cell>
          <cell r="G63">
            <v>74</v>
          </cell>
          <cell r="H63">
            <v>5.3</v>
          </cell>
          <cell r="I63">
            <v>12</v>
          </cell>
          <cell r="M63">
            <v>392.2</v>
          </cell>
          <cell r="O63">
            <v>0</v>
          </cell>
          <cell r="P63">
            <v>0</v>
          </cell>
          <cell r="Q63">
            <v>0</v>
          </cell>
        </row>
        <row r="64">
          <cell r="B64" t="str">
            <v>7.8</v>
          </cell>
          <cell r="D64" t="str">
            <v xml:space="preserve">Caixa de passagem de PVC 4x4" - Fornecimento e Instalação </v>
          </cell>
          <cell r="E64" t="str">
            <v>unid.</v>
          </cell>
          <cell r="G64">
            <v>33</v>
          </cell>
          <cell r="H64">
            <v>6.1</v>
          </cell>
          <cell r="I64">
            <v>12</v>
          </cell>
          <cell r="M64">
            <v>201.29999999999998</v>
          </cell>
          <cell r="O64">
            <v>0</v>
          </cell>
          <cell r="P64">
            <v>0</v>
          </cell>
          <cell r="Q64">
            <v>0</v>
          </cell>
        </row>
        <row r="65">
          <cell r="B65" t="str">
            <v>7.9</v>
          </cell>
          <cell r="D65" t="str">
            <v>Padrão de entrada de energia elétrica, trifásico, entrada aérea, a4 fios, carga instalada de 15001 até 26000W, instalada em muro</v>
          </cell>
          <cell r="E65" t="str">
            <v>unid.</v>
          </cell>
          <cell r="G65">
            <v>1</v>
          </cell>
          <cell r="H65">
            <v>1280</v>
          </cell>
          <cell r="I65">
            <v>12</v>
          </cell>
          <cell r="M65">
            <v>1280</v>
          </cell>
          <cell r="O65">
            <v>0</v>
          </cell>
          <cell r="P65">
            <v>0</v>
          </cell>
          <cell r="Q65">
            <v>0</v>
          </cell>
        </row>
        <row r="66">
          <cell r="B66" t="str">
            <v>7.10</v>
          </cell>
          <cell r="D66" t="str">
            <v>Poste metalico decorativo externo p/ jardim h = 2,50m d = 75mm c/ 2 luminárias</v>
          </cell>
          <cell r="E66" t="str">
            <v>unid.</v>
          </cell>
          <cell r="G66">
            <v>8</v>
          </cell>
          <cell r="H66">
            <v>339</v>
          </cell>
          <cell r="I66">
            <v>12</v>
          </cell>
          <cell r="M66">
            <v>2712</v>
          </cell>
          <cell r="O66">
            <v>0</v>
          </cell>
          <cell r="P66">
            <v>0</v>
          </cell>
          <cell r="Q66">
            <v>0</v>
          </cell>
        </row>
        <row r="67">
          <cell r="B67" t="str">
            <v>7.11</v>
          </cell>
          <cell r="D67" t="str">
            <v>Luminaria tipo calha, de sobrepor, com reator de partida rapida e lampada fluorescente 2x40w, completa, fornecimento e instalacao</v>
          </cell>
          <cell r="E67" t="str">
            <v>und</v>
          </cell>
          <cell r="G67">
            <v>40</v>
          </cell>
          <cell r="H67">
            <v>80.099999999999994</v>
          </cell>
          <cell r="I67">
            <v>12</v>
          </cell>
          <cell r="M67">
            <v>3204</v>
          </cell>
          <cell r="O67">
            <v>0</v>
          </cell>
          <cell r="P67">
            <v>0</v>
          </cell>
          <cell r="Q67">
            <v>0</v>
          </cell>
        </row>
        <row r="68">
          <cell r="B68" t="str">
            <v>7.12</v>
          </cell>
          <cell r="D68" t="str">
            <v>Tomada de embutir 2p+t 10a/250v c/ placa - fornecimento e instalacao</v>
          </cell>
          <cell r="E68" t="str">
            <v>und</v>
          </cell>
          <cell r="G68">
            <v>46</v>
          </cell>
          <cell r="H68">
            <v>11</v>
          </cell>
          <cell r="I68">
            <v>12</v>
          </cell>
          <cell r="M68">
            <v>506</v>
          </cell>
          <cell r="O68">
            <v>0</v>
          </cell>
          <cell r="P68">
            <v>0</v>
          </cell>
          <cell r="Q68">
            <v>0</v>
          </cell>
        </row>
        <row r="69">
          <cell r="B69" t="str">
            <v>7.13</v>
          </cell>
          <cell r="D69" t="str">
            <v xml:space="preserve">Tomada para telefone de 4 polos padrão Telebrás - Fornecimento e Instalação </v>
          </cell>
          <cell r="E69" t="str">
            <v>und</v>
          </cell>
          <cell r="G69">
            <v>9</v>
          </cell>
          <cell r="H69">
            <v>16.5</v>
          </cell>
          <cell r="I69">
            <v>12</v>
          </cell>
          <cell r="M69">
            <v>148.5</v>
          </cell>
          <cell r="O69">
            <v>0</v>
          </cell>
          <cell r="P69">
            <v>0</v>
          </cell>
          <cell r="Q69">
            <v>0</v>
          </cell>
        </row>
        <row r="70">
          <cell r="B70" t="str">
            <v>7.14</v>
          </cell>
          <cell r="D70" t="str">
            <v>Eletroduto de pvc flexivel corrugado dn 20mm (3/4") fornecimento e instalacao</v>
          </cell>
          <cell r="E70" t="str">
            <v>m</v>
          </cell>
          <cell r="G70">
            <v>595</v>
          </cell>
          <cell r="H70">
            <v>4.3</v>
          </cell>
          <cell r="I70">
            <v>12</v>
          </cell>
          <cell r="M70">
            <v>2558.5</v>
          </cell>
          <cell r="O70">
            <v>0</v>
          </cell>
          <cell r="P70">
            <v>0</v>
          </cell>
          <cell r="Q70">
            <v>0</v>
          </cell>
        </row>
        <row r="71">
          <cell r="B71" t="str">
            <v>7.15</v>
          </cell>
          <cell r="D71" t="str">
            <v>Eletroduto de pvc flexivel corrugado dn32 mm (1 1/4") fornecimento e instalacao</v>
          </cell>
          <cell r="E71" t="str">
            <v>m</v>
          </cell>
          <cell r="G71">
            <v>110</v>
          </cell>
          <cell r="H71">
            <v>8</v>
          </cell>
          <cell r="I71">
            <v>12</v>
          </cell>
          <cell r="M71">
            <v>880</v>
          </cell>
          <cell r="O71">
            <v>0</v>
          </cell>
          <cell r="P71">
            <v>0</v>
          </cell>
          <cell r="Q71">
            <v>0</v>
          </cell>
        </row>
        <row r="72">
          <cell r="B72" t="str">
            <v>7.16</v>
          </cell>
          <cell r="D72" t="str">
            <v>Eletroduto de pvc flexivel corrugado dn 25mm (1") fornecimento e instalacao</v>
          </cell>
          <cell r="E72" t="str">
            <v>m</v>
          </cell>
          <cell r="G72">
            <v>140</v>
          </cell>
          <cell r="H72">
            <v>5.5</v>
          </cell>
          <cell r="I72">
            <v>12</v>
          </cell>
          <cell r="M72">
            <v>770</v>
          </cell>
          <cell r="O72">
            <v>0</v>
          </cell>
          <cell r="P72">
            <v>0</v>
          </cell>
          <cell r="Q72">
            <v>0</v>
          </cell>
        </row>
        <row r="73">
          <cell r="B73" t="str">
            <v>7.17</v>
          </cell>
          <cell r="D73" t="str">
            <v>Eletroduto de pvc rigido roscavel dn 50mm (2"), incl conexoes, fornecimento e instalacao - Lógica</v>
          </cell>
          <cell r="E73" t="str">
            <v>m</v>
          </cell>
          <cell r="G73">
            <v>6</v>
          </cell>
          <cell r="H73">
            <v>21.8</v>
          </cell>
          <cell r="I73">
            <v>12</v>
          </cell>
          <cell r="M73">
            <v>130.80000000000001</v>
          </cell>
          <cell r="O73">
            <v>0</v>
          </cell>
          <cell r="P73">
            <v>0</v>
          </cell>
          <cell r="Q73">
            <v>0</v>
          </cell>
        </row>
        <row r="74">
          <cell r="B74" t="str">
            <v>7.18</v>
          </cell>
          <cell r="D74" t="str">
            <v>Eletroduto de pvc rigido roscavel dn 40mm (1 1/2"), incl conexoes, fornecimento e instalacao - Lógica</v>
          </cell>
          <cell r="E74" t="str">
            <v>m</v>
          </cell>
          <cell r="G74">
            <v>20</v>
          </cell>
          <cell r="H74">
            <v>19.05</v>
          </cell>
          <cell r="I74">
            <v>12</v>
          </cell>
          <cell r="M74">
            <v>381</v>
          </cell>
          <cell r="O74">
            <v>0</v>
          </cell>
          <cell r="P74">
            <v>0</v>
          </cell>
          <cell r="Q74">
            <v>0</v>
          </cell>
        </row>
        <row r="75">
          <cell r="B75" t="str">
            <v>7.19</v>
          </cell>
          <cell r="D75" t="str">
            <v>Interruptor pulsador de campainha ou minuteria 2a/250v c/ caixa - fornecimento e instalacao</v>
          </cell>
          <cell r="E75" t="str">
            <v>unid.</v>
          </cell>
          <cell r="G75">
            <v>1</v>
          </cell>
          <cell r="H75">
            <v>13.66</v>
          </cell>
          <cell r="I75">
            <v>12</v>
          </cell>
          <cell r="M75">
            <v>13.66</v>
          </cell>
          <cell r="O75">
            <v>0</v>
          </cell>
          <cell r="P75">
            <v>0</v>
          </cell>
          <cell r="Q75">
            <v>0</v>
          </cell>
        </row>
        <row r="76">
          <cell r="B76" t="str">
            <v>7.20</v>
          </cell>
          <cell r="D76" t="str">
            <v>Disjuntor termomagnético tripolar padrão nema (americano) 10 a 50a 240v, fornecimento e instalação</v>
          </cell>
          <cell r="E76" t="str">
            <v>und</v>
          </cell>
          <cell r="G76">
            <v>18</v>
          </cell>
          <cell r="H76">
            <v>65.900000000000006</v>
          </cell>
          <cell r="I76">
            <v>12</v>
          </cell>
          <cell r="M76">
            <v>1186.2</v>
          </cell>
          <cell r="O76">
            <v>0</v>
          </cell>
          <cell r="P76">
            <v>0</v>
          </cell>
          <cell r="Q76">
            <v>0</v>
          </cell>
        </row>
        <row r="77">
          <cell r="B77" t="str">
            <v>7.21</v>
          </cell>
          <cell r="D77" t="str">
            <v>Quadro de distribuicao de energia de embutir, em chapa metalica, para 18 disjuntores termomagneticos monopolares, com barramento trifasico e neutro, fornecimento e instalacao</v>
          </cell>
          <cell r="E77" t="str">
            <v>unid.</v>
          </cell>
          <cell r="G77">
            <v>1</v>
          </cell>
          <cell r="H77">
            <v>350</v>
          </cell>
          <cell r="I77">
            <v>12</v>
          </cell>
          <cell r="M77">
            <v>350</v>
          </cell>
          <cell r="O77">
            <v>0</v>
          </cell>
          <cell r="P77">
            <v>0</v>
          </cell>
          <cell r="Q77">
            <v>0</v>
          </cell>
        </row>
        <row r="78">
          <cell r="B78" t="str">
            <v>7.22</v>
          </cell>
          <cell r="D78" t="str">
            <v xml:space="preserve"> caixa pvc 4" x 2" p/ eletroduto "  - Lógica</v>
          </cell>
          <cell r="E78" t="str">
            <v>unid.</v>
          </cell>
          <cell r="G78">
            <v>17</v>
          </cell>
          <cell r="H78">
            <v>2</v>
          </cell>
          <cell r="I78">
            <v>12</v>
          </cell>
          <cell r="M78">
            <v>34</v>
          </cell>
          <cell r="O78">
            <v>0</v>
          </cell>
          <cell r="P78">
            <v>0</v>
          </cell>
          <cell r="Q78">
            <v>0</v>
          </cell>
        </row>
        <row r="79">
          <cell r="B79" t="str">
            <v>7.23</v>
          </cell>
          <cell r="D79" t="str">
            <v>Tomada RJ45 CAT.6 Sárie SL s/ janela</v>
          </cell>
          <cell r="E79" t="str">
            <v>PÇ</v>
          </cell>
          <cell r="G79">
            <v>17</v>
          </cell>
          <cell r="H79">
            <v>30.5</v>
          </cell>
          <cell r="I79">
            <v>12</v>
          </cell>
          <cell r="M79">
            <v>518.5</v>
          </cell>
          <cell r="O79">
            <v>0</v>
          </cell>
          <cell r="P79">
            <v>0</v>
          </cell>
          <cell r="Q79">
            <v>0</v>
          </cell>
        </row>
        <row r="80">
          <cell r="B80" t="str">
            <v>7.24</v>
          </cell>
          <cell r="D80" t="str">
            <v>Cabo UTP - Categoria 6, 4 pares, 23AWG, 100 Ohms</v>
          </cell>
          <cell r="E80" t="str">
            <v>m</v>
          </cell>
          <cell r="G80">
            <v>155</v>
          </cell>
          <cell r="H80">
            <v>3.05</v>
          </cell>
          <cell r="I80">
            <v>12</v>
          </cell>
          <cell r="M80">
            <v>472.75</v>
          </cell>
          <cell r="O80">
            <v>0</v>
          </cell>
          <cell r="P80">
            <v>0</v>
          </cell>
          <cell r="Q80">
            <v>0</v>
          </cell>
        </row>
        <row r="81">
          <cell r="B81" t="str">
            <v>7.25</v>
          </cell>
          <cell r="D81" t="str">
            <v>Interruptor simples de embutir 10a/250v 1 tecla, sem placa - fornecimento e instalacao</v>
          </cell>
          <cell r="E81" t="str">
            <v>unid.</v>
          </cell>
          <cell r="G81">
            <v>12</v>
          </cell>
          <cell r="H81">
            <v>9.0500000000000007</v>
          </cell>
          <cell r="I81">
            <v>12</v>
          </cell>
          <cell r="M81">
            <v>108.60000000000001</v>
          </cell>
          <cell r="O81">
            <v>0</v>
          </cell>
          <cell r="P81">
            <v>0</v>
          </cell>
          <cell r="Q81">
            <v>0</v>
          </cell>
        </row>
        <row r="82">
          <cell r="B82" t="str">
            <v>7.26</v>
          </cell>
          <cell r="D82" t="str">
            <v>Rack parede 8x450 - preto</v>
          </cell>
          <cell r="E82" t="str">
            <v>unid.</v>
          </cell>
          <cell r="G82">
            <v>1</v>
          </cell>
          <cell r="H82">
            <v>303.02</v>
          </cell>
          <cell r="I82">
            <v>12</v>
          </cell>
          <cell r="M82">
            <v>303.02</v>
          </cell>
          <cell r="O82">
            <v>0</v>
          </cell>
          <cell r="P82">
            <v>0</v>
          </cell>
          <cell r="Q82">
            <v>0</v>
          </cell>
        </row>
        <row r="83">
          <cell r="B83" t="str">
            <v>7.27</v>
          </cell>
          <cell r="D83" t="str">
            <v>Voice Panel 50 Portas - Preto - telefone</v>
          </cell>
          <cell r="E83" t="str">
            <v>unid.</v>
          </cell>
          <cell r="G83">
            <v>1</v>
          </cell>
          <cell r="H83">
            <v>330</v>
          </cell>
          <cell r="I83">
            <v>12</v>
          </cell>
          <cell r="M83">
            <v>330</v>
          </cell>
          <cell r="O83">
            <v>0</v>
          </cell>
          <cell r="P83">
            <v>0</v>
          </cell>
          <cell r="Q83">
            <v>0</v>
          </cell>
        </row>
        <row r="84">
          <cell r="B84" t="str">
            <v>7.28</v>
          </cell>
          <cell r="D84" t="str">
            <v>Caixa de passagem 300x300x120mm, chapa 18, com tampa parafusada</v>
          </cell>
          <cell r="E84" t="str">
            <v>unid.</v>
          </cell>
          <cell r="G84">
            <v>1</v>
          </cell>
          <cell r="H84">
            <v>75.03</v>
          </cell>
          <cell r="I84">
            <v>12</v>
          </cell>
          <cell r="M84">
            <v>75.03</v>
          </cell>
          <cell r="O84">
            <v>0</v>
          </cell>
          <cell r="P84">
            <v>0</v>
          </cell>
          <cell r="Q84">
            <v>0</v>
          </cell>
        </row>
        <row r="85">
          <cell r="B85" t="str">
            <v>7.29</v>
          </cell>
          <cell r="D85" t="str">
            <v>Caixa enterrada para instalacoes telefonicas tipo r1 0,60x0,35x0,50m em blocos de concreto estrutural</v>
          </cell>
          <cell r="E85" t="str">
            <v>unid.</v>
          </cell>
          <cell r="G85">
            <v>1</v>
          </cell>
          <cell r="H85">
            <v>150</v>
          </cell>
          <cell r="I85">
            <v>12</v>
          </cell>
          <cell r="M85">
            <v>150</v>
          </cell>
          <cell r="O85">
            <v>0</v>
          </cell>
          <cell r="P85">
            <v>0</v>
          </cell>
          <cell r="Q85">
            <v>0</v>
          </cell>
        </row>
        <row r="86">
          <cell r="B86">
            <v>8</v>
          </cell>
          <cell r="D86" t="str">
            <v>INSTALAÇÕES DE PARA RAIO</v>
          </cell>
          <cell r="M86" t="str">
            <v/>
          </cell>
          <cell r="O86" t="str">
            <v/>
          </cell>
          <cell r="P86" t="str">
            <v/>
          </cell>
          <cell r="Q86" t="str">
            <v/>
          </cell>
        </row>
        <row r="87">
          <cell r="B87" t="str">
            <v>8.1</v>
          </cell>
          <cell r="D87" t="str">
            <v>Para-raios tipo franklin - cabo e suporte isolador</v>
          </cell>
          <cell r="E87" t="str">
            <v>m</v>
          </cell>
          <cell r="G87">
            <v>80</v>
          </cell>
          <cell r="H87">
            <v>38</v>
          </cell>
          <cell r="I87">
            <v>12</v>
          </cell>
          <cell r="M87">
            <v>3040</v>
          </cell>
          <cell r="O87">
            <v>0</v>
          </cell>
          <cell r="P87">
            <v>0</v>
          </cell>
          <cell r="Q87">
            <v>0</v>
          </cell>
        </row>
        <row r="88">
          <cell r="B88" t="str">
            <v>8.2</v>
          </cell>
          <cell r="D88" t="str">
            <v>Haste coperweld 3/4" x 3,00m com conector</v>
          </cell>
          <cell r="E88" t="str">
            <v>unid.</v>
          </cell>
          <cell r="G88">
            <v>2</v>
          </cell>
          <cell r="H88">
            <v>39.9</v>
          </cell>
          <cell r="I88">
            <v>12</v>
          </cell>
          <cell r="M88">
            <v>79.8</v>
          </cell>
          <cell r="O88">
            <v>0</v>
          </cell>
          <cell r="P88">
            <v>0</v>
          </cell>
          <cell r="Q88">
            <v>0</v>
          </cell>
        </row>
        <row r="89">
          <cell r="B89">
            <v>9</v>
          </cell>
          <cell r="D89" t="str">
            <v xml:space="preserve">ESQUADRIAS </v>
          </cell>
          <cell r="M89" t="str">
            <v/>
          </cell>
          <cell r="O89" t="str">
            <v/>
          </cell>
          <cell r="P89" t="str">
            <v/>
          </cell>
          <cell r="Q89" t="str">
            <v/>
          </cell>
        </row>
        <row r="90">
          <cell r="B90" t="str">
            <v>9.1</v>
          </cell>
          <cell r="D90" t="str">
            <v>Porta de madeira compensada lisa para pintura, 70x210x3,5cm, incluso a aduela 2a, alizar 2a e dobradicas</v>
          </cell>
          <cell r="E90" t="str">
            <v>und</v>
          </cell>
          <cell r="G90">
            <v>2</v>
          </cell>
          <cell r="H90">
            <v>260</v>
          </cell>
          <cell r="I90">
            <v>12</v>
          </cell>
          <cell r="M90">
            <v>520</v>
          </cell>
          <cell r="O90">
            <v>0</v>
          </cell>
          <cell r="P90">
            <v>0</v>
          </cell>
          <cell r="Q90">
            <v>0</v>
          </cell>
        </row>
        <row r="91">
          <cell r="B91" t="str">
            <v>9.2</v>
          </cell>
          <cell r="D91" t="str">
            <v>Porta de madeira compensada lisa para pintura, 80 x 210 x 3,5cm, incluso aduela 2a, alizar 2a e dobradiça</v>
          </cell>
          <cell r="E91" t="str">
            <v>und</v>
          </cell>
          <cell r="G91">
            <v>9</v>
          </cell>
          <cell r="H91">
            <v>402.3</v>
          </cell>
          <cell r="I91">
            <v>12</v>
          </cell>
          <cell r="M91">
            <v>3620.7000000000003</v>
          </cell>
          <cell r="O91">
            <v>0</v>
          </cell>
          <cell r="P91">
            <v>0</v>
          </cell>
          <cell r="Q91">
            <v>0</v>
          </cell>
        </row>
        <row r="92">
          <cell r="B92" t="str">
            <v>9.3</v>
          </cell>
          <cell r="D92" t="str">
            <v>Grade de ferro em barra chata 3/16"</v>
          </cell>
          <cell r="E92" t="str">
            <v>m²</v>
          </cell>
          <cell r="G92">
            <v>1.3</v>
          </cell>
          <cell r="H92">
            <v>285</v>
          </cell>
          <cell r="I92">
            <v>12</v>
          </cell>
          <cell r="M92">
            <v>370.5</v>
          </cell>
          <cell r="O92">
            <v>0</v>
          </cell>
          <cell r="P92">
            <v>0</v>
          </cell>
          <cell r="Q92">
            <v>0</v>
          </cell>
        </row>
        <row r="93">
          <cell r="B93" t="str">
            <v>9.4</v>
          </cell>
          <cell r="D93" t="str">
            <v>Porta de madeira compensada lisa para cera ou verniz, 90x210x3,5cm, incluso aduela 1a, alizar 1a e dobradicas com anel.</v>
          </cell>
          <cell r="E93" t="str">
            <v>unid</v>
          </cell>
          <cell r="G93">
            <v>5</v>
          </cell>
          <cell r="H93">
            <v>410</v>
          </cell>
          <cell r="I93">
            <v>12</v>
          </cell>
          <cell r="M93">
            <v>2050</v>
          </cell>
          <cell r="O93">
            <v>0</v>
          </cell>
          <cell r="P93">
            <v>0</v>
          </cell>
          <cell r="Q93">
            <v>0</v>
          </cell>
        </row>
        <row r="94">
          <cell r="B94" t="str">
            <v>9.5</v>
          </cell>
          <cell r="D94" t="str">
            <v>Porta de vidro temperado, 0,9x2,10m, espessura 10mm, inclusive acessórios</v>
          </cell>
          <cell r="E94" t="str">
            <v>unid</v>
          </cell>
          <cell r="G94">
            <v>6</v>
          </cell>
          <cell r="H94">
            <v>1990.1</v>
          </cell>
          <cell r="I94">
            <v>12</v>
          </cell>
          <cell r="M94">
            <v>11940.599999999999</v>
          </cell>
          <cell r="O94">
            <v>0</v>
          </cell>
          <cell r="P94">
            <v>0</v>
          </cell>
          <cell r="Q94">
            <v>0</v>
          </cell>
        </row>
        <row r="95">
          <cell r="B95" t="str">
            <v>9.6</v>
          </cell>
          <cell r="D95" t="str">
            <v>Janela de correr em aluminio, folhas para vidro, com bandeira, inclusoguarnicao e vidro liso incolor</v>
          </cell>
          <cell r="E95" t="str">
            <v>m²</v>
          </cell>
          <cell r="G95">
            <v>36.4</v>
          </cell>
          <cell r="H95">
            <v>299.5</v>
          </cell>
          <cell r="I95">
            <v>12</v>
          </cell>
          <cell r="M95">
            <v>10901.8</v>
          </cell>
          <cell r="O95">
            <v>0</v>
          </cell>
          <cell r="P95">
            <v>0</v>
          </cell>
          <cell r="Q95">
            <v>0</v>
          </cell>
        </row>
        <row r="96">
          <cell r="B96" t="str">
            <v>9.7</v>
          </cell>
          <cell r="D96" t="str">
            <v>Porta de abrir em aluminio tipo veneziana, com guarnição.</v>
          </cell>
          <cell r="E96" t="str">
            <v>m²</v>
          </cell>
          <cell r="G96">
            <v>10.08</v>
          </cell>
          <cell r="H96">
            <v>375</v>
          </cell>
          <cell r="I96">
            <v>12</v>
          </cell>
          <cell r="M96">
            <v>3780</v>
          </cell>
          <cell r="O96">
            <v>0</v>
          </cell>
          <cell r="P96">
            <v>0</v>
          </cell>
          <cell r="Q96">
            <v>0</v>
          </cell>
        </row>
        <row r="97">
          <cell r="B97" t="str">
            <v>9.8</v>
          </cell>
          <cell r="D97" t="str">
            <v>janela basculante de aluminio</v>
          </cell>
          <cell r="E97" t="str">
            <v>m²</v>
          </cell>
          <cell r="G97">
            <v>6.44</v>
          </cell>
          <cell r="H97">
            <v>230</v>
          </cell>
          <cell r="I97">
            <v>12</v>
          </cell>
          <cell r="M97">
            <v>1481.2</v>
          </cell>
          <cell r="O97">
            <v>0</v>
          </cell>
          <cell r="P97">
            <v>0</v>
          </cell>
          <cell r="Q97">
            <v>0</v>
          </cell>
        </row>
        <row r="98">
          <cell r="B98" t="str">
            <v>9.9</v>
          </cell>
          <cell r="D98" t="str">
            <v>Vidro liso comum transparente, espessura 4mm</v>
          </cell>
          <cell r="E98" t="str">
            <v>m²</v>
          </cell>
          <cell r="G98">
            <v>6.44</v>
          </cell>
          <cell r="H98">
            <v>74</v>
          </cell>
          <cell r="I98">
            <v>12</v>
          </cell>
          <cell r="M98">
            <v>476.56</v>
          </cell>
          <cell r="O98">
            <v>0</v>
          </cell>
          <cell r="P98">
            <v>0</v>
          </cell>
          <cell r="Q98">
            <v>0</v>
          </cell>
        </row>
        <row r="99">
          <cell r="B99">
            <v>10</v>
          </cell>
          <cell r="D99" t="str">
            <v>PISOS INTERNOS E EXTERNOS</v>
          </cell>
          <cell r="M99" t="str">
            <v/>
          </cell>
          <cell r="O99" t="str">
            <v/>
          </cell>
          <cell r="P99" t="str">
            <v/>
          </cell>
          <cell r="Q99" t="str">
            <v/>
          </cell>
        </row>
        <row r="100">
          <cell r="B100" t="str">
            <v>10.1</v>
          </cell>
          <cell r="D100" t="str">
            <v>Regularizacao de piso/base em argamassa traco 1:3 (cimento e areia grossa sem peneirar), espessura 3,0cm, preparo mecanico</v>
          </cell>
          <cell r="E100" t="str">
            <v>m²</v>
          </cell>
          <cell r="G100">
            <v>353.31</v>
          </cell>
          <cell r="H100">
            <v>17.5</v>
          </cell>
          <cell r="I100">
            <v>12</v>
          </cell>
          <cell r="M100">
            <v>6182.9250000000002</v>
          </cell>
          <cell r="O100">
            <v>0</v>
          </cell>
          <cell r="P100">
            <v>0</v>
          </cell>
          <cell r="Q100">
            <v>0</v>
          </cell>
        </row>
        <row r="101">
          <cell r="B101" t="str">
            <v>10.2</v>
          </cell>
          <cell r="D101" t="str">
            <v xml:space="preserve">Contrapiso/lastro de concreto nao-estrutural, e=5cm, preparo com betoneira </v>
          </cell>
          <cell r="E101" t="str">
            <v>m²</v>
          </cell>
          <cell r="G101">
            <v>464.22</v>
          </cell>
          <cell r="H101">
            <v>21.6</v>
          </cell>
          <cell r="I101">
            <v>12</v>
          </cell>
          <cell r="M101">
            <v>10027.152000000002</v>
          </cell>
          <cell r="O101">
            <v>0</v>
          </cell>
          <cell r="P101">
            <v>0</v>
          </cell>
          <cell r="Q101">
            <v>0</v>
          </cell>
        </row>
        <row r="102">
          <cell r="B102" t="str">
            <v>10.3</v>
          </cell>
          <cell r="D102" t="str">
            <v>piso ceramico pei 4 assentado sobre argamassa 1:4 (cimento e areia) rejuntado com cimento comum</v>
          </cell>
          <cell r="E102" t="str">
            <v>m²</v>
          </cell>
          <cell r="G102">
            <v>353.31</v>
          </cell>
          <cell r="H102">
            <v>41.1</v>
          </cell>
          <cell r="I102">
            <v>12</v>
          </cell>
          <cell r="M102">
            <v>14521.041000000001</v>
          </cell>
          <cell r="O102">
            <v>0</v>
          </cell>
          <cell r="P102">
            <v>0</v>
          </cell>
          <cell r="Q102">
            <v>0</v>
          </cell>
        </row>
        <row r="103">
          <cell r="B103" t="str">
            <v>10.4</v>
          </cell>
          <cell r="D103" t="str">
            <v>Rodape em ceramica padrao medio pei-4 altura 8cm assentado sobre argam massa de cimento colante rejuntado com cimento branco</v>
          </cell>
          <cell r="E103" t="str">
            <v>m</v>
          </cell>
          <cell r="G103">
            <v>179.6</v>
          </cell>
          <cell r="H103">
            <v>9.5</v>
          </cell>
          <cell r="I103">
            <v>12</v>
          </cell>
          <cell r="M103">
            <v>1706.2</v>
          </cell>
          <cell r="O103">
            <v>0</v>
          </cell>
          <cell r="P103">
            <v>0</v>
          </cell>
          <cell r="Q103">
            <v>0</v>
          </cell>
        </row>
        <row r="104">
          <cell r="B104" t="str">
            <v>10.5</v>
          </cell>
          <cell r="D104" t="str">
            <v>Piso cimentado traço 1:3 (cimento e areia) acabamento liso espessura 2cm com junta batida e preparo manual da argamassa.</v>
          </cell>
          <cell r="E104" t="str">
            <v>m²</v>
          </cell>
          <cell r="G104">
            <v>110.91</v>
          </cell>
          <cell r="H104">
            <v>36.5</v>
          </cell>
          <cell r="I104">
            <v>12</v>
          </cell>
          <cell r="M104">
            <v>4048.2149999999997</v>
          </cell>
          <cell r="O104">
            <v>0</v>
          </cell>
          <cell r="P104">
            <v>0</v>
          </cell>
          <cell r="Q104">
            <v>0</v>
          </cell>
        </row>
        <row r="105">
          <cell r="B105" t="str">
            <v>10.6</v>
          </cell>
          <cell r="D105" t="str">
            <v>soleira ceramica pei-4 largura 15cm assentada sobre argamassa cimento e areia traco 1:4</v>
          </cell>
          <cell r="E105" t="str">
            <v>m</v>
          </cell>
          <cell r="G105">
            <v>26.1</v>
          </cell>
          <cell r="H105">
            <v>9.99</v>
          </cell>
          <cell r="I105">
            <v>12</v>
          </cell>
          <cell r="M105">
            <v>260.73900000000003</v>
          </cell>
          <cell r="O105">
            <v>0</v>
          </cell>
          <cell r="P105">
            <v>0</v>
          </cell>
          <cell r="Q105">
            <v>0</v>
          </cell>
        </row>
        <row r="106">
          <cell r="B106">
            <v>11</v>
          </cell>
          <cell r="D106" t="str">
            <v xml:space="preserve">INSTALAÇÕES HIDRO-SANITÁRIAS </v>
          </cell>
          <cell r="M106" t="str">
            <v/>
          </cell>
          <cell r="O106" t="str">
            <v/>
          </cell>
          <cell r="P106" t="str">
            <v/>
          </cell>
          <cell r="Q106" t="str">
            <v/>
          </cell>
        </row>
        <row r="107">
          <cell r="B107" t="str">
            <v>11.1</v>
          </cell>
          <cell r="D107" t="str">
            <v xml:space="preserve">Kit cavalete pvc com registro 3/4" - fornecimento e instalacao </v>
          </cell>
          <cell r="E107" t="str">
            <v>unid</v>
          </cell>
          <cell r="G107">
            <v>1</v>
          </cell>
          <cell r="H107">
            <v>75</v>
          </cell>
          <cell r="I107">
            <v>12</v>
          </cell>
          <cell r="M107">
            <v>75</v>
          </cell>
          <cell r="O107">
            <v>0</v>
          </cell>
          <cell r="P107">
            <v>0</v>
          </cell>
          <cell r="Q107">
            <v>0</v>
          </cell>
        </row>
        <row r="108">
          <cell r="B108" t="str">
            <v>11.2</v>
          </cell>
          <cell r="D108" t="str">
            <v>Tubo pvc soldavel agua fria dn 25mm, inclusive conexoes - fornecimento e instalacao</v>
          </cell>
          <cell r="E108" t="str">
            <v>m</v>
          </cell>
          <cell r="G108">
            <v>215.5</v>
          </cell>
          <cell r="H108">
            <v>13</v>
          </cell>
          <cell r="I108">
            <v>12</v>
          </cell>
          <cell r="M108">
            <v>2801.5</v>
          </cell>
          <cell r="O108">
            <v>0</v>
          </cell>
          <cell r="P108">
            <v>0</v>
          </cell>
          <cell r="Q108">
            <v>0</v>
          </cell>
        </row>
        <row r="109">
          <cell r="B109" t="str">
            <v>11.3</v>
          </cell>
          <cell r="D109" t="str">
            <v>Tubo pvc soldavel agua fria dn 32mm, inclusive conexoes - fornecimento e instalação</v>
          </cell>
          <cell r="E109" t="str">
            <v>m</v>
          </cell>
          <cell r="G109">
            <v>118</v>
          </cell>
          <cell r="H109">
            <v>20</v>
          </cell>
          <cell r="I109">
            <v>12</v>
          </cell>
          <cell r="M109">
            <v>2360</v>
          </cell>
          <cell r="O109">
            <v>0</v>
          </cell>
          <cell r="P109">
            <v>0</v>
          </cell>
          <cell r="Q109">
            <v>0</v>
          </cell>
        </row>
        <row r="110">
          <cell r="B110" t="str">
            <v>11.4</v>
          </cell>
          <cell r="D110" t="str">
            <v>Tubo pvc soldavel agua fria dn 40mm, inclusive conexoes - fornecimento e instalacao</v>
          </cell>
          <cell r="E110" t="str">
            <v>m</v>
          </cell>
          <cell r="G110">
            <v>40</v>
          </cell>
          <cell r="H110">
            <v>26</v>
          </cell>
          <cell r="I110">
            <v>12</v>
          </cell>
          <cell r="M110">
            <v>1040</v>
          </cell>
          <cell r="O110">
            <v>0</v>
          </cell>
          <cell r="P110">
            <v>0</v>
          </cell>
          <cell r="Q110">
            <v>0</v>
          </cell>
        </row>
        <row r="111">
          <cell r="B111" t="str">
            <v>11.5</v>
          </cell>
          <cell r="D111" t="str">
            <v>tubo pvc soldavel agua fria dn 75mm, inclusive conexoes - fornecimento e instalacao</v>
          </cell>
          <cell r="E111" t="str">
            <v>m</v>
          </cell>
          <cell r="G111">
            <v>35</v>
          </cell>
          <cell r="H111">
            <v>68</v>
          </cell>
          <cell r="I111">
            <v>12</v>
          </cell>
          <cell r="M111">
            <v>2380</v>
          </cell>
          <cell r="O111">
            <v>0</v>
          </cell>
          <cell r="P111">
            <v>0</v>
          </cell>
          <cell r="Q111">
            <v>0</v>
          </cell>
        </row>
        <row r="112">
          <cell r="B112" t="str">
            <v>11.6</v>
          </cell>
          <cell r="D112" t="str">
            <v xml:space="preserve">Registro gaveta 3/4" com canopla acabamento cromado simples - fornecimento e instalacao </v>
          </cell>
          <cell r="E112" t="str">
            <v>unid</v>
          </cell>
          <cell r="G112">
            <v>10</v>
          </cell>
          <cell r="H112">
            <v>64.989999999999995</v>
          </cell>
          <cell r="I112">
            <v>12</v>
          </cell>
          <cell r="M112">
            <v>649.9</v>
          </cell>
          <cell r="O112">
            <v>0</v>
          </cell>
          <cell r="P112">
            <v>0</v>
          </cell>
          <cell r="Q112">
            <v>0</v>
          </cell>
        </row>
        <row r="113">
          <cell r="B113" t="str">
            <v>11.7</v>
          </cell>
          <cell r="D113" t="str">
            <v>Caixa de inspeção em alvenaria de tijolo maciço 60x60x60cm, revestida internamento com barra lisa (cimento e areia, traço 1:4) e=2,0cm, com tampa pré-moldada de concreto e fundo de concreto 15mpa tipo c - escavação e confecção</v>
          </cell>
          <cell r="E113" t="str">
            <v>unid</v>
          </cell>
          <cell r="G113">
            <v>5</v>
          </cell>
          <cell r="H113">
            <v>139.5</v>
          </cell>
          <cell r="I113">
            <v>12</v>
          </cell>
          <cell r="M113">
            <v>697.5</v>
          </cell>
          <cell r="O113">
            <v>0</v>
          </cell>
          <cell r="P113">
            <v>0</v>
          </cell>
          <cell r="Q113">
            <v>0</v>
          </cell>
        </row>
        <row r="114">
          <cell r="B114" t="str">
            <v>11.8</v>
          </cell>
          <cell r="D114" t="str">
            <v>Caixa de gordura dupla em concreto pre-moldado dn 60mm com tampa - fornecimento e instalacao.</v>
          </cell>
          <cell r="E114" t="str">
            <v>unid</v>
          </cell>
          <cell r="G114">
            <v>1</v>
          </cell>
          <cell r="H114">
            <v>215.1</v>
          </cell>
          <cell r="I114">
            <v>12</v>
          </cell>
          <cell r="M114">
            <v>215.1</v>
          </cell>
          <cell r="O114">
            <v>0</v>
          </cell>
          <cell r="P114">
            <v>0</v>
          </cell>
          <cell r="Q114">
            <v>0</v>
          </cell>
        </row>
        <row r="115">
          <cell r="B115" t="str">
            <v>11.9</v>
          </cell>
          <cell r="D115" t="str">
            <v>Fossa septica em alvenaria de tijolo ceramico macico dimensoes externa s1,90x1,10x1,40m, 1.500 litros, revestida internamente com barra lisa, com tampa em concreto armado com espessura 8cm.</v>
          </cell>
          <cell r="E115" t="str">
            <v>unid</v>
          </cell>
          <cell r="G115">
            <v>2</v>
          </cell>
          <cell r="H115">
            <v>1280</v>
          </cell>
          <cell r="I115">
            <v>12</v>
          </cell>
          <cell r="M115">
            <v>2560</v>
          </cell>
          <cell r="O115">
            <v>0</v>
          </cell>
          <cell r="P115">
            <v>0</v>
          </cell>
          <cell r="Q115">
            <v>0</v>
          </cell>
        </row>
        <row r="116">
          <cell r="B116" t="str">
            <v>11.10</v>
          </cell>
          <cell r="D116" t="str">
            <v>Sumidouro em alvenaria de tijolo ceramico maciço diametro 1,40m e altura 5,00m, com tampa em concreto armado diametro 1,70m e espessura 10cm</v>
          </cell>
          <cell r="E116" t="str">
            <v>unid</v>
          </cell>
          <cell r="G116">
            <v>1</v>
          </cell>
          <cell r="H116">
            <v>2149.1999999999998</v>
          </cell>
          <cell r="I116">
            <v>12</v>
          </cell>
          <cell r="M116">
            <v>2149.1999999999998</v>
          </cell>
          <cell r="O116">
            <v>0</v>
          </cell>
          <cell r="P116">
            <v>0</v>
          </cell>
          <cell r="Q116">
            <v>0</v>
          </cell>
        </row>
        <row r="117">
          <cell r="B117" t="str">
            <v>11.11</v>
          </cell>
          <cell r="D117" t="str">
            <v xml:space="preserve">Caixa de inspeção 80x80x80cm em alvenaria - execução </v>
          </cell>
          <cell r="E117" t="str">
            <v>unid</v>
          </cell>
          <cell r="G117">
            <v>1</v>
          </cell>
          <cell r="H117">
            <v>265</v>
          </cell>
          <cell r="I117">
            <v>12</v>
          </cell>
          <cell r="M117">
            <v>265</v>
          </cell>
          <cell r="O117">
            <v>0</v>
          </cell>
          <cell r="P117">
            <v>0</v>
          </cell>
          <cell r="Q117">
            <v>0</v>
          </cell>
        </row>
        <row r="118">
          <cell r="B118" t="str">
            <v>11.12</v>
          </cell>
          <cell r="D118" t="str">
            <v xml:space="preserve">Caixa de passagem pvc 4x4" - fornecimento e instalacao </v>
          </cell>
          <cell r="E118" t="str">
            <v>unid</v>
          </cell>
          <cell r="G118">
            <v>1</v>
          </cell>
          <cell r="H118">
            <v>6.5</v>
          </cell>
          <cell r="I118">
            <v>12</v>
          </cell>
          <cell r="M118">
            <v>6.5</v>
          </cell>
          <cell r="O118">
            <v>0</v>
          </cell>
          <cell r="P118">
            <v>0</v>
          </cell>
          <cell r="Q118">
            <v>0</v>
          </cell>
        </row>
        <row r="119">
          <cell r="B119" t="str">
            <v>11.13</v>
          </cell>
          <cell r="D119" t="str">
            <v>tubo pvc esgoto js predial dn 40mm, inclusive conexoes - fornecimento e instalacao</v>
          </cell>
          <cell r="E119" t="str">
            <v>m</v>
          </cell>
          <cell r="G119">
            <v>8</v>
          </cell>
          <cell r="H119">
            <v>19.05</v>
          </cell>
          <cell r="I119">
            <v>12</v>
          </cell>
          <cell r="M119">
            <v>152.4</v>
          </cell>
          <cell r="O119">
            <v>0</v>
          </cell>
          <cell r="P119">
            <v>0</v>
          </cell>
          <cell r="Q119">
            <v>0</v>
          </cell>
        </row>
        <row r="120">
          <cell r="B120" t="str">
            <v>11.14</v>
          </cell>
          <cell r="D120" t="str">
            <v>Tubo pvc esgoto predial dn 50mm, inclusive conexoes - fornecimento e instalacao</v>
          </cell>
          <cell r="E120" t="str">
            <v>m</v>
          </cell>
          <cell r="G120">
            <v>20</v>
          </cell>
          <cell r="H120">
            <v>25.5</v>
          </cell>
          <cell r="I120">
            <v>12</v>
          </cell>
          <cell r="M120">
            <v>510</v>
          </cell>
          <cell r="O120">
            <v>0</v>
          </cell>
          <cell r="P120">
            <v>0</v>
          </cell>
          <cell r="Q120">
            <v>0</v>
          </cell>
        </row>
        <row r="121">
          <cell r="B121" t="str">
            <v>11.15</v>
          </cell>
          <cell r="D121" t="str">
            <v xml:space="preserve">Tubo pvc esgoto predial dn 75mm, inclusive conexoes - fornecimento e instalação
</v>
          </cell>
          <cell r="E121" t="str">
            <v>m</v>
          </cell>
          <cell r="G121">
            <v>50</v>
          </cell>
          <cell r="H121">
            <v>35.5</v>
          </cell>
          <cell r="I121">
            <v>12</v>
          </cell>
          <cell r="M121">
            <v>1775</v>
          </cell>
          <cell r="O121">
            <v>0</v>
          </cell>
          <cell r="P121">
            <v>0</v>
          </cell>
          <cell r="Q121">
            <v>0</v>
          </cell>
        </row>
        <row r="122">
          <cell r="B122" t="str">
            <v>11.16</v>
          </cell>
          <cell r="D122" t="str">
            <v>Tubo pvc esgoto predial dn 100mm, inclusive conexoes - fornecimento e instalacao</v>
          </cell>
          <cell r="E122" t="str">
            <v>m</v>
          </cell>
          <cell r="G122">
            <v>48</v>
          </cell>
          <cell r="H122">
            <v>39.01</v>
          </cell>
          <cell r="I122">
            <v>12</v>
          </cell>
          <cell r="M122">
            <v>1872.48</v>
          </cell>
          <cell r="O122">
            <v>0</v>
          </cell>
          <cell r="P122">
            <v>0</v>
          </cell>
          <cell r="Q122">
            <v>0</v>
          </cell>
        </row>
        <row r="123">
          <cell r="B123" t="str">
            <v>11.17</v>
          </cell>
          <cell r="D123" t="str">
            <v>Registro gaveta 1" bruto latao - fornecimento e instalacao</v>
          </cell>
          <cell r="E123" t="str">
            <v>unid</v>
          </cell>
          <cell r="G123">
            <v>1</v>
          </cell>
          <cell r="H123">
            <v>42.5</v>
          </cell>
          <cell r="I123">
            <v>12</v>
          </cell>
          <cell r="M123">
            <v>42.5</v>
          </cell>
          <cell r="O123">
            <v>0</v>
          </cell>
          <cell r="P123">
            <v>0</v>
          </cell>
          <cell r="Q123">
            <v>0</v>
          </cell>
        </row>
        <row r="124">
          <cell r="B124" t="str">
            <v>11.18</v>
          </cell>
          <cell r="D124" t="str">
            <v xml:space="preserve">Registro gaveta 3/4" bruto latao - fornecimento e instalacao </v>
          </cell>
          <cell r="E124" t="str">
            <v>unid</v>
          </cell>
          <cell r="G124">
            <v>10</v>
          </cell>
          <cell r="H124">
            <v>34</v>
          </cell>
          <cell r="I124">
            <v>12</v>
          </cell>
          <cell r="M124">
            <v>340</v>
          </cell>
          <cell r="O124">
            <v>0</v>
          </cell>
          <cell r="P124">
            <v>0</v>
          </cell>
          <cell r="Q124">
            <v>0</v>
          </cell>
        </row>
        <row r="125">
          <cell r="B125" t="str">
            <v>11.19</v>
          </cell>
          <cell r="D125" t="str">
            <v xml:space="preserve">Ralo sifonado de pvc 100x100mm simples - fornecimento e instalacao </v>
          </cell>
          <cell r="E125" t="str">
            <v>unid</v>
          </cell>
          <cell r="G125">
            <v>6</v>
          </cell>
          <cell r="H125">
            <v>18.559999999999999</v>
          </cell>
          <cell r="I125">
            <v>12</v>
          </cell>
          <cell r="M125">
            <v>111.35999999999999</v>
          </cell>
          <cell r="O125">
            <v>0</v>
          </cell>
          <cell r="P125">
            <v>0</v>
          </cell>
          <cell r="Q125">
            <v>0</v>
          </cell>
        </row>
        <row r="126">
          <cell r="B126">
            <v>12</v>
          </cell>
          <cell r="D126" t="str">
            <v>APARELHOS SANITÁRIOS</v>
          </cell>
          <cell r="M126" t="str">
            <v/>
          </cell>
          <cell r="O126" t="str">
            <v/>
          </cell>
          <cell r="P126" t="str">
            <v/>
          </cell>
          <cell r="Q126" t="str">
            <v/>
          </cell>
        </row>
        <row r="127">
          <cell r="B127" t="str">
            <v>12.1</v>
          </cell>
          <cell r="D127" t="str">
            <v>Lavatório em louca branca, sem coluna padrão popular, com torneira cromada popular , sifão, válvula e engate plástico</v>
          </cell>
          <cell r="E127" t="str">
            <v>und</v>
          </cell>
          <cell r="G127">
            <v>4</v>
          </cell>
          <cell r="H127">
            <v>149.5</v>
          </cell>
          <cell r="I127">
            <v>12</v>
          </cell>
          <cell r="M127">
            <v>598</v>
          </cell>
          <cell r="O127">
            <v>0</v>
          </cell>
          <cell r="P127">
            <v>0</v>
          </cell>
          <cell r="Q127">
            <v>0</v>
          </cell>
        </row>
        <row r="128">
          <cell r="B128" t="str">
            <v>12.2</v>
          </cell>
          <cell r="D128" t="str">
            <v>Granito cinza polido para bancada e=2,5 cm, largura 60cm - fornecimento e instalacao</v>
          </cell>
          <cell r="E128" t="str">
            <v>m</v>
          </cell>
          <cell r="G128">
            <v>6.2</v>
          </cell>
          <cell r="H128">
            <v>131</v>
          </cell>
          <cell r="I128">
            <v>12</v>
          </cell>
          <cell r="M128">
            <v>812.2</v>
          </cell>
          <cell r="O128">
            <v>0</v>
          </cell>
          <cell r="P128">
            <v>0</v>
          </cell>
          <cell r="Q128">
            <v>0</v>
          </cell>
        </row>
        <row r="129">
          <cell r="B129" t="str">
            <v>12.3</v>
          </cell>
          <cell r="D129" t="str">
            <v>Cuba de embutir, em louca, tipo oval branca, sem complementos, padrao</v>
          </cell>
          <cell r="E129" t="str">
            <v>unid</v>
          </cell>
          <cell r="G129">
            <v>8</v>
          </cell>
          <cell r="H129">
            <v>86.5</v>
          </cell>
          <cell r="I129">
            <v>12</v>
          </cell>
          <cell r="M129">
            <v>692</v>
          </cell>
          <cell r="O129">
            <v>0</v>
          </cell>
          <cell r="P129">
            <v>0</v>
          </cell>
          <cell r="Q129">
            <v>0</v>
          </cell>
        </row>
        <row r="130">
          <cell r="B130" t="str">
            <v>12.4</v>
          </cell>
          <cell r="D130" t="str">
            <v xml:space="preserve">Sifao plastico flexivel 3/4" x 1 1/2" </v>
          </cell>
          <cell r="E130" t="str">
            <v>unid</v>
          </cell>
          <cell r="G130">
            <v>8</v>
          </cell>
          <cell r="H130">
            <v>28</v>
          </cell>
          <cell r="I130">
            <v>12</v>
          </cell>
          <cell r="M130">
            <v>224</v>
          </cell>
          <cell r="O130">
            <v>0</v>
          </cell>
          <cell r="P130">
            <v>0</v>
          </cell>
          <cell r="Q130">
            <v>0</v>
          </cell>
        </row>
        <row r="131">
          <cell r="B131" t="str">
            <v>12.5</v>
          </cell>
          <cell r="D131" t="str">
            <v xml:space="preserve">Vaso sanitario com caixa de descarga acoplada - louca branca   </v>
          </cell>
          <cell r="E131" t="str">
            <v>und</v>
          </cell>
          <cell r="G131">
            <v>10</v>
          </cell>
          <cell r="H131">
            <v>345</v>
          </cell>
          <cell r="I131">
            <v>12</v>
          </cell>
          <cell r="M131">
            <v>3450</v>
          </cell>
          <cell r="O131">
            <v>0</v>
          </cell>
          <cell r="P131">
            <v>0</v>
          </cell>
          <cell r="Q131">
            <v>0</v>
          </cell>
        </row>
        <row r="132">
          <cell r="B132" t="str">
            <v>12.6</v>
          </cell>
          <cell r="D132" t="str">
            <v>Bacia sifonada de louça branca para portadores de necessidades especiais, Vogue Plus Conforto - Linha Conforto, mod P51, incl. assento com abertura frontal, ref.AP52,marca de ref. Deca ou equivalente</v>
          </cell>
          <cell r="E132" t="str">
            <v>und</v>
          </cell>
          <cell r="G132">
            <v>2</v>
          </cell>
          <cell r="H132">
            <v>1109</v>
          </cell>
          <cell r="I132">
            <v>12</v>
          </cell>
          <cell r="M132">
            <v>2218</v>
          </cell>
          <cell r="O132">
            <v>0</v>
          </cell>
          <cell r="P132">
            <v>0</v>
          </cell>
          <cell r="Q132">
            <v>0</v>
          </cell>
        </row>
        <row r="133">
          <cell r="B133" t="str">
            <v>12.7</v>
          </cell>
          <cell r="D133" t="str">
            <v>Ducha higienica manual c/ registro 1/2"</v>
          </cell>
          <cell r="E133" t="str">
            <v>und</v>
          </cell>
          <cell r="G133">
            <v>12</v>
          </cell>
          <cell r="H133">
            <v>66.5</v>
          </cell>
          <cell r="I133">
            <v>12</v>
          </cell>
          <cell r="M133">
            <v>798</v>
          </cell>
          <cell r="O133">
            <v>0</v>
          </cell>
          <cell r="P133">
            <v>0</v>
          </cell>
          <cell r="Q133">
            <v>0</v>
          </cell>
        </row>
        <row r="134">
          <cell r="B134" t="str">
            <v>12.8</v>
          </cell>
          <cell r="D134" t="str">
            <v>Tanque simples pre-moldado de concreto com valvula em plastico branco 1.1/4"x1.1/2", sifao plastico tipo copo 1.1/4" e torneira plastica 3/4" - fornecimento e instalação.</v>
          </cell>
          <cell r="E134" t="str">
            <v>und</v>
          </cell>
          <cell r="G134">
            <v>1</v>
          </cell>
          <cell r="H134">
            <v>260.14999999999998</v>
          </cell>
          <cell r="I134">
            <v>12</v>
          </cell>
          <cell r="M134">
            <v>260.14999999999998</v>
          </cell>
          <cell r="O134">
            <v>0</v>
          </cell>
          <cell r="P134">
            <v>0</v>
          </cell>
          <cell r="Q134">
            <v>0</v>
          </cell>
        </row>
        <row r="135">
          <cell r="B135" t="str">
            <v>12.9</v>
          </cell>
          <cell r="D135" t="str">
            <v>divisoria em granito branco polido, esp = 3cm, assentado com argamassa traco 1:4, arremate em cimento branco</v>
          </cell>
          <cell r="E135" t="str">
            <v>m²</v>
          </cell>
          <cell r="G135">
            <v>33.03</v>
          </cell>
          <cell r="H135">
            <v>348.5</v>
          </cell>
          <cell r="I135">
            <v>12</v>
          </cell>
          <cell r="M135">
            <v>11510.955</v>
          </cell>
          <cell r="O135">
            <v>0</v>
          </cell>
          <cell r="P135">
            <v>0</v>
          </cell>
          <cell r="Q135">
            <v>0</v>
          </cell>
        </row>
        <row r="136">
          <cell r="B136" t="str">
            <v>12.10</v>
          </cell>
          <cell r="D136" t="str">
            <v>Chuveiro eletrico comum corpo plastico tipo ducha, fornecimento e instalacao</v>
          </cell>
          <cell r="E136" t="str">
            <v>und</v>
          </cell>
          <cell r="G136">
            <v>2</v>
          </cell>
          <cell r="H136">
            <v>38</v>
          </cell>
          <cell r="I136">
            <v>12</v>
          </cell>
          <cell r="M136">
            <v>76</v>
          </cell>
          <cell r="O136">
            <v>0</v>
          </cell>
          <cell r="P136">
            <v>0</v>
          </cell>
          <cell r="Q136">
            <v>0</v>
          </cell>
        </row>
        <row r="137">
          <cell r="B137" t="str">
            <v>12.11</v>
          </cell>
          <cell r="D137" t="str">
            <v>Pia aco inoxidavel 120x60cm com 1 cuba - fornecimento e instalacao</v>
          </cell>
          <cell r="E137" t="str">
            <v>und</v>
          </cell>
          <cell r="G137">
            <v>1</v>
          </cell>
          <cell r="H137">
            <v>213.5</v>
          </cell>
          <cell r="I137">
            <v>12</v>
          </cell>
          <cell r="M137">
            <v>213.5</v>
          </cell>
          <cell r="O137">
            <v>0</v>
          </cell>
          <cell r="P137">
            <v>0</v>
          </cell>
          <cell r="Q137">
            <v>0</v>
          </cell>
        </row>
        <row r="138">
          <cell r="B138" t="str">
            <v>12.12</v>
          </cell>
          <cell r="D138" t="str">
            <v xml:space="preserve">Reservatório de fibra de vidro de 5.000 L, inclusive peça de madeira 6 x 16 cm para apoio, exclusive flanges e torneira de bóia </v>
          </cell>
          <cell r="E138" t="str">
            <v>und</v>
          </cell>
          <cell r="G138">
            <v>1</v>
          </cell>
          <cell r="H138">
            <v>2010</v>
          </cell>
          <cell r="I138">
            <v>12</v>
          </cell>
          <cell r="M138">
            <v>2010</v>
          </cell>
          <cell r="O138">
            <v>0</v>
          </cell>
          <cell r="P138">
            <v>0</v>
          </cell>
          <cell r="Q138">
            <v>0</v>
          </cell>
        </row>
        <row r="139">
          <cell r="B139" t="str">
            <v>12.13</v>
          </cell>
          <cell r="D139" t="str">
            <v>Torneira cromada longa 1/2" ou 3/4" de parede para pia, padrao popular - fornecimento e instalacao</v>
          </cell>
          <cell r="E139" t="str">
            <v>und</v>
          </cell>
          <cell r="G139">
            <v>1</v>
          </cell>
          <cell r="H139">
            <v>38</v>
          </cell>
          <cell r="I139">
            <v>12</v>
          </cell>
          <cell r="M139">
            <v>38</v>
          </cell>
          <cell r="O139">
            <v>0</v>
          </cell>
          <cell r="P139">
            <v>0</v>
          </cell>
          <cell r="Q139">
            <v>0</v>
          </cell>
        </row>
        <row r="140">
          <cell r="B140" t="str">
            <v>12.14</v>
          </cell>
          <cell r="D140" t="str">
            <v>Torneira cromada 1/2" ou 3/4" para lavatorio, padrão popular, com engate flexivel plastico 1/2"x30cm - fornecimento e instalacao</v>
          </cell>
          <cell r="E140" t="str">
            <v>und</v>
          </cell>
          <cell r="G140">
            <v>8</v>
          </cell>
          <cell r="H140">
            <v>45.5</v>
          </cell>
          <cell r="I140">
            <v>12</v>
          </cell>
          <cell r="M140">
            <v>364</v>
          </cell>
          <cell r="O140">
            <v>0</v>
          </cell>
          <cell r="P140">
            <v>0</v>
          </cell>
          <cell r="Q140">
            <v>0</v>
          </cell>
        </row>
        <row r="141">
          <cell r="B141">
            <v>13</v>
          </cell>
          <cell r="D141" t="str">
            <v>PINTURA</v>
          </cell>
          <cell r="M141" t="str">
            <v/>
          </cell>
          <cell r="O141" t="str">
            <v/>
          </cell>
          <cell r="P141" t="str">
            <v/>
          </cell>
          <cell r="Q141" t="str">
            <v/>
          </cell>
        </row>
        <row r="142">
          <cell r="B142" t="str">
            <v>13.1</v>
          </cell>
          <cell r="D142" t="str">
            <v>Emassamento com massa latex pva para ambientes internos, duas demaos</v>
          </cell>
          <cell r="E142" t="str">
            <v>m²</v>
          </cell>
          <cell r="G142">
            <v>962.01</v>
          </cell>
          <cell r="H142">
            <v>10.199999999999999</v>
          </cell>
          <cell r="I142">
            <v>12</v>
          </cell>
          <cell r="M142">
            <v>9812.5019999999986</v>
          </cell>
          <cell r="O142">
            <v>0</v>
          </cell>
          <cell r="P142">
            <v>0</v>
          </cell>
          <cell r="Q142">
            <v>0</v>
          </cell>
        </row>
        <row r="143">
          <cell r="B143" t="str">
            <v>13.2</v>
          </cell>
          <cell r="D143" t="str">
            <v>Pintura latex pva ambientes internos, duas demaos</v>
          </cell>
          <cell r="E143" t="str">
            <v>m²</v>
          </cell>
          <cell r="G143">
            <v>962.01</v>
          </cell>
          <cell r="H143">
            <v>8.5</v>
          </cell>
          <cell r="I143">
            <v>12</v>
          </cell>
          <cell r="M143">
            <v>8177.085</v>
          </cell>
          <cell r="O143">
            <v>0</v>
          </cell>
          <cell r="P143">
            <v>0</v>
          </cell>
          <cell r="Q143">
            <v>0</v>
          </cell>
        </row>
        <row r="144">
          <cell r="B144" t="str">
            <v>13.3</v>
          </cell>
          <cell r="D144" t="str">
            <v>Pintura látex acrílica ambientes internos/externos, duas demãos</v>
          </cell>
          <cell r="E144" t="str">
            <v>m²</v>
          </cell>
          <cell r="G144">
            <v>1153.98</v>
          </cell>
          <cell r="H144">
            <v>9.3000000000000007</v>
          </cell>
          <cell r="I144">
            <v>12</v>
          </cell>
          <cell r="M144">
            <v>10732.014000000001</v>
          </cell>
          <cell r="O144">
            <v>0</v>
          </cell>
          <cell r="P144">
            <v>0</v>
          </cell>
          <cell r="Q144">
            <v>0</v>
          </cell>
        </row>
        <row r="145">
          <cell r="B145" t="str">
            <v>13.4</v>
          </cell>
          <cell r="D145" t="str">
            <v xml:space="preserve"> pintura com tinta texturizada acrilica</v>
          </cell>
          <cell r="E145" t="str">
            <v>m²</v>
          </cell>
          <cell r="G145">
            <v>19.260000000000002</v>
          </cell>
          <cell r="H145">
            <v>16.5</v>
          </cell>
          <cell r="I145">
            <v>12</v>
          </cell>
          <cell r="M145">
            <v>317.79000000000002</v>
          </cell>
          <cell r="O145">
            <v>0</v>
          </cell>
          <cell r="P145">
            <v>0</v>
          </cell>
          <cell r="Q145">
            <v>0</v>
          </cell>
        </row>
        <row r="146">
          <cell r="B146" t="str">
            <v>13.5</v>
          </cell>
          <cell r="D146" t="str">
            <v xml:space="preserve">Fundo selador acrilico, uma demao </v>
          </cell>
          <cell r="E146" t="str">
            <v>m²</v>
          </cell>
          <cell r="G146">
            <v>1173.24</v>
          </cell>
          <cell r="H146">
            <v>3.33</v>
          </cell>
          <cell r="I146">
            <v>12</v>
          </cell>
          <cell r="M146">
            <v>3906.8892000000001</v>
          </cell>
          <cell r="O146">
            <v>0</v>
          </cell>
          <cell r="P146">
            <v>0</v>
          </cell>
          <cell r="Q146">
            <v>0</v>
          </cell>
        </row>
        <row r="147">
          <cell r="B147" t="str">
            <v>13.6</v>
          </cell>
          <cell r="D147" t="str">
            <v>Pintura em esmalte sintetico em pecas metalicas utilizando revolver/compressor, duas demaos, incluso uma demao fundo oxido de ferro/zarcao</v>
          </cell>
          <cell r="E147" t="str">
            <v>m²</v>
          </cell>
          <cell r="G147">
            <v>70</v>
          </cell>
          <cell r="H147">
            <v>13.1</v>
          </cell>
          <cell r="I147">
            <v>12</v>
          </cell>
          <cell r="M147">
            <v>917</v>
          </cell>
          <cell r="O147">
            <v>0</v>
          </cell>
          <cell r="P147">
            <v>0</v>
          </cell>
          <cell r="Q147">
            <v>0</v>
          </cell>
        </row>
        <row r="148">
          <cell r="B148">
            <v>14</v>
          </cell>
          <cell r="D148" t="str">
            <v xml:space="preserve">SERVIÇOS COMPLEMENTARES </v>
          </cell>
          <cell r="M148" t="str">
            <v/>
          </cell>
          <cell r="O148" t="str">
            <v/>
          </cell>
          <cell r="P148" t="str">
            <v/>
          </cell>
          <cell r="Q148" t="str">
            <v/>
          </cell>
        </row>
        <row r="149">
          <cell r="B149" t="str">
            <v>14.1</v>
          </cell>
          <cell r="D149" t="str">
            <v>Espelho cristal espessura 4mm, com moldura de madeira</v>
          </cell>
          <cell r="E149" t="str">
            <v>m²</v>
          </cell>
          <cell r="G149">
            <v>4.2</v>
          </cell>
          <cell r="H149">
            <v>213</v>
          </cell>
          <cell r="I149">
            <v>12</v>
          </cell>
          <cell r="M149">
            <v>894.6</v>
          </cell>
          <cell r="O149">
            <v>0</v>
          </cell>
          <cell r="P149">
            <v>0</v>
          </cell>
          <cell r="Q149">
            <v>0</v>
          </cell>
        </row>
        <row r="150">
          <cell r="B150" t="str">
            <v>14.2</v>
          </cell>
          <cell r="D150" t="str">
            <v>Extintor incendio tp po quimico 4kg fornecimento e colocacao</v>
          </cell>
          <cell r="E150" t="str">
            <v>unid</v>
          </cell>
          <cell r="G150">
            <v>2</v>
          </cell>
          <cell r="H150">
            <v>125</v>
          </cell>
          <cell r="I150">
            <v>12</v>
          </cell>
          <cell r="M150">
            <v>250</v>
          </cell>
          <cell r="O150">
            <v>0</v>
          </cell>
          <cell r="P150">
            <v>0</v>
          </cell>
          <cell r="Q150">
            <v>0</v>
          </cell>
        </row>
        <row r="151">
          <cell r="B151" t="str">
            <v>14.3</v>
          </cell>
          <cell r="D151" t="str">
            <v xml:space="preserve">Extintor incendio agua-pressurizada 10l incl suporte parede carga </v>
          </cell>
          <cell r="E151" t="str">
            <v>unid</v>
          </cell>
          <cell r="G151">
            <v>2</v>
          </cell>
          <cell r="H151">
            <v>137.19999999999999</v>
          </cell>
          <cell r="I151">
            <v>12</v>
          </cell>
          <cell r="M151">
            <v>274.39999999999998</v>
          </cell>
          <cell r="O151">
            <v>0</v>
          </cell>
          <cell r="P151">
            <v>0</v>
          </cell>
          <cell r="Q151">
            <v>0</v>
          </cell>
        </row>
        <row r="152">
          <cell r="B152" t="str">
            <v>14.4</v>
          </cell>
          <cell r="D152" t="str">
            <v>Pintura acrilica para sinalização horizontal</v>
          </cell>
          <cell r="E152" t="str">
            <v>m²</v>
          </cell>
          <cell r="G152">
            <v>26</v>
          </cell>
          <cell r="H152">
            <v>19.5</v>
          </cell>
          <cell r="I152">
            <v>12</v>
          </cell>
          <cell r="M152">
            <v>507</v>
          </cell>
          <cell r="O152">
            <v>0</v>
          </cell>
          <cell r="P152">
            <v>0</v>
          </cell>
          <cell r="Q152">
            <v>0</v>
          </cell>
        </row>
        <row r="153">
          <cell r="B153" t="str">
            <v>14.5</v>
          </cell>
          <cell r="D153" t="str">
            <v xml:space="preserve">Bicicletário em tubo de ferro galvanizado 1" e ferro liso 1/2", inclusive pintura, conforme projeto padrão </v>
          </cell>
          <cell r="E153" t="str">
            <v>m</v>
          </cell>
          <cell r="G153">
            <v>11.45</v>
          </cell>
          <cell r="H153">
            <v>101.1</v>
          </cell>
          <cell r="I153">
            <v>12</v>
          </cell>
          <cell r="M153">
            <v>1157.5949999999998</v>
          </cell>
          <cell r="O153">
            <v>0</v>
          </cell>
          <cell r="P153">
            <v>0</v>
          </cell>
          <cell r="Q153">
            <v>0</v>
          </cell>
        </row>
        <row r="154">
          <cell r="B154" t="str">
            <v>14.6</v>
          </cell>
          <cell r="D154" t="str">
            <v>Meio-fio (guia) de concreto pre-moldado, dimensões 12x15x30x100cm (face superior x face inferior x altura x comprimento),rejuntado c/argamassa 1:4</v>
          </cell>
          <cell r="E154" t="str">
            <v>m</v>
          </cell>
          <cell r="G154">
            <v>57</v>
          </cell>
          <cell r="H154">
            <v>32.200000000000003</v>
          </cell>
          <cell r="I154">
            <v>12</v>
          </cell>
          <cell r="M154">
            <v>1835.4</v>
          </cell>
          <cell r="O154">
            <v>0</v>
          </cell>
          <cell r="P154">
            <v>0</v>
          </cell>
          <cell r="Q154">
            <v>0</v>
          </cell>
        </row>
        <row r="155">
          <cell r="B155" t="str">
            <v>14.7</v>
          </cell>
          <cell r="D155" t="str">
            <v>Piso em ladrilho hidraulico de alerta e direcional na cor preta 25 x 25 cm, assentado com argamassa de cimento e areia, inclusive rejuntamento</v>
          </cell>
          <cell r="E155" t="str">
            <v>m²</v>
          </cell>
          <cell r="G155">
            <v>20.82</v>
          </cell>
          <cell r="H155">
            <v>51.2</v>
          </cell>
          <cell r="I155">
            <v>12</v>
          </cell>
          <cell r="M155">
            <v>1065.9840000000002</v>
          </cell>
          <cell r="O155">
            <v>0</v>
          </cell>
          <cell r="P155">
            <v>0</v>
          </cell>
          <cell r="Q155">
            <v>0</v>
          </cell>
        </row>
        <row r="156">
          <cell r="B156" t="str">
            <v>14.8</v>
          </cell>
          <cell r="D156" t="str">
            <v>Guarda-corpo com corrimao em ferro barra chata 3/16"</v>
          </cell>
          <cell r="E156" t="str">
            <v>m</v>
          </cell>
          <cell r="G156">
            <v>15.04</v>
          </cell>
          <cell r="H156">
            <v>330</v>
          </cell>
          <cell r="I156">
            <v>12</v>
          </cell>
          <cell r="M156">
            <v>4963.2</v>
          </cell>
          <cell r="O156">
            <v>0</v>
          </cell>
          <cell r="P156">
            <v>0</v>
          </cell>
          <cell r="Q156">
            <v>0</v>
          </cell>
        </row>
        <row r="157">
          <cell r="B157" t="str">
            <v>14.9</v>
          </cell>
          <cell r="D157" t="str">
            <v>Barra de apoio de ferro galvanizado, diâm. 3 cm, comprimento de 80 cm, para sanitário deficientes, inclusive pintura</v>
          </cell>
          <cell r="E157" t="str">
            <v>unid</v>
          </cell>
          <cell r="G157">
            <v>4</v>
          </cell>
          <cell r="H157">
            <v>110.25</v>
          </cell>
          <cell r="I157">
            <v>12</v>
          </cell>
          <cell r="M157">
            <v>441</v>
          </cell>
          <cell r="O157">
            <v>0</v>
          </cell>
          <cell r="P157">
            <v>0</v>
          </cell>
          <cell r="Q157">
            <v>0</v>
          </cell>
        </row>
        <row r="158">
          <cell r="B158" t="str">
            <v>14.10</v>
          </cell>
          <cell r="D158" t="str">
            <v>Grama batatais em placas</v>
          </cell>
          <cell r="E158" t="str">
            <v>m²</v>
          </cell>
          <cell r="G158">
            <v>15.08</v>
          </cell>
          <cell r="H158">
            <v>11.05</v>
          </cell>
          <cell r="I158">
            <v>12</v>
          </cell>
          <cell r="M158">
            <v>166.63400000000001</v>
          </cell>
          <cell r="O158">
            <v>0</v>
          </cell>
          <cell r="P158">
            <v>0</v>
          </cell>
          <cell r="Q158">
            <v>0</v>
          </cell>
        </row>
        <row r="159">
          <cell r="B159" t="str">
            <v>14.11</v>
          </cell>
          <cell r="D159" t="str">
            <v xml:space="preserve">Terra vegetal </v>
          </cell>
          <cell r="E159" t="str">
            <v>m³</v>
          </cell>
          <cell r="G159">
            <v>3.01</v>
          </cell>
          <cell r="H159">
            <v>97.5</v>
          </cell>
          <cell r="I159">
            <v>12</v>
          </cell>
          <cell r="M159">
            <v>293.47499999999997</v>
          </cell>
          <cell r="O159">
            <v>0</v>
          </cell>
          <cell r="P159">
            <v>0</v>
          </cell>
          <cell r="Q159">
            <v>0</v>
          </cell>
        </row>
        <row r="160">
          <cell r="B160" t="str">
            <v>14.12</v>
          </cell>
          <cell r="D160" t="str">
            <v>Pavimentacao em blocos de concreto sextavado, espessura 6,0 cm, fck 35mpa, assentados sobre colchao de areia.</v>
          </cell>
          <cell r="E160" t="str">
            <v>m²</v>
          </cell>
          <cell r="G160">
            <v>247.82</v>
          </cell>
          <cell r="H160">
            <v>43.2</v>
          </cell>
          <cell r="I160">
            <v>12</v>
          </cell>
          <cell r="M160">
            <v>10705.824000000001</v>
          </cell>
          <cell r="O160">
            <v>0</v>
          </cell>
          <cell r="P160">
            <v>0</v>
          </cell>
          <cell r="Q160">
            <v>0</v>
          </cell>
        </row>
        <row r="161">
          <cell r="B161" t="str">
            <v>14.13</v>
          </cell>
          <cell r="D161" t="str">
            <v>Limpeza final da obra</v>
          </cell>
          <cell r="E161" t="str">
            <v>m²</v>
          </cell>
          <cell r="G161">
            <v>384.25</v>
          </cell>
          <cell r="H161">
            <v>1.25</v>
          </cell>
          <cell r="I161">
            <v>12</v>
          </cell>
          <cell r="M161">
            <v>480.3125</v>
          </cell>
          <cell r="O161">
            <v>0</v>
          </cell>
          <cell r="P161">
            <v>0</v>
          </cell>
          <cell r="Q161">
            <v>0</v>
          </cell>
        </row>
        <row r="162">
          <cell r="B162">
            <v>15</v>
          </cell>
          <cell r="D162" t="str">
            <v>ADMINISTRAÇÃO LOCAL</v>
          </cell>
          <cell r="M162" t="str">
            <v/>
          </cell>
          <cell r="O162" t="str">
            <v/>
          </cell>
          <cell r="P162" t="str">
            <v/>
          </cell>
          <cell r="Q162" t="str">
            <v/>
          </cell>
        </row>
        <row r="163">
          <cell r="B163" t="str">
            <v>15.1</v>
          </cell>
          <cell r="D163" t="str">
            <v>Arquiteto / Engenheiro de obra pleno</v>
          </cell>
          <cell r="E163" t="str">
            <v>h</v>
          </cell>
          <cell r="G163">
            <v>150</v>
          </cell>
          <cell r="H163">
            <v>63.6</v>
          </cell>
          <cell r="I163">
            <v>12</v>
          </cell>
          <cell r="M163">
            <v>9540</v>
          </cell>
          <cell r="O163">
            <v>0</v>
          </cell>
          <cell r="P163">
            <v>0</v>
          </cell>
          <cell r="Q163">
            <v>0</v>
          </cell>
        </row>
        <row r="164">
          <cell r="B164" t="str">
            <v>15.2</v>
          </cell>
          <cell r="D164" t="str">
            <v>Encarregado Geral</v>
          </cell>
          <cell r="E164" t="str">
            <v>mês</v>
          </cell>
          <cell r="G164">
            <v>6</v>
          </cell>
          <cell r="H164">
            <v>4501.1000000000004</v>
          </cell>
          <cell r="I164">
            <v>12</v>
          </cell>
          <cell r="M164">
            <v>27006.600000000002</v>
          </cell>
          <cell r="O164">
            <v>0</v>
          </cell>
          <cell r="P164">
            <v>0</v>
          </cell>
          <cell r="Q164">
            <v>0</v>
          </cell>
        </row>
        <row r="165">
          <cell r="B165" t="str">
            <v>15.3</v>
          </cell>
          <cell r="D165" t="str">
            <v>Vigia Noturno</v>
          </cell>
          <cell r="E165" t="str">
            <v>mês</v>
          </cell>
          <cell r="G165">
            <v>6</v>
          </cell>
          <cell r="H165">
            <v>1935.2</v>
          </cell>
          <cell r="I165">
            <v>12</v>
          </cell>
          <cell r="M165">
            <v>11611.2</v>
          </cell>
          <cell r="O165">
            <v>0</v>
          </cell>
          <cell r="P165">
            <v>0</v>
          </cell>
          <cell r="Q165">
            <v>0</v>
          </cell>
        </row>
        <row r="167">
          <cell r="H167" t="str">
            <v>Orçamento inicial</v>
          </cell>
          <cell r="K167" t="str">
            <v>Aditivos aprovados</v>
          </cell>
        </row>
        <row r="168">
          <cell r="K168">
            <v>-2.686134323350605E-9</v>
          </cell>
          <cell r="S168">
            <v>0</v>
          </cell>
        </row>
        <row r="169">
          <cell r="H169">
            <v>530874.43142600008</v>
          </cell>
          <cell r="K169">
            <v>-1.4260000316426158E-3</v>
          </cell>
          <cell r="S169">
            <v>0</v>
          </cell>
        </row>
        <row r="170">
          <cell r="H170" t="str">
            <v/>
          </cell>
          <cell r="K170">
            <v>1.4260000316426158E-3</v>
          </cell>
          <cell r="L170" t="str">
            <v>aguarda aprovação</v>
          </cell>
          <cell r="S170" t="str">
            <v/>
          </cell>
        </row>
      </sheetData>
      <sheetData sheetId="1">
        <row r="18">
          <cell r="E18">
            <v>1293.4296039999999</v>
          </cell>
        </row>
        <row r="19">
          <cell r="E19">
            <v>3172.2929219999992</v>
          </cell>
        </row>
        <row r="20">
          <cell r="E20">
            <v>44.318199999999997</v>
          </cell>
        </row>
        <row r="21">
          <cell r="E21">
            <v>117723.633</v>
          </cell>
        </row>
        <row r="22">
          <cell r="E22">
            <v>102971.3434</v>
          </cell>
        </row>
        <row r="23">
          <cell r="E23">
            <v>57315.972600000008</v>
          </cell>
        </row>
        <row r="24">
          <cell r="E24">
            <v>25021.26</v>
          </cell>
        </row>
        <row r="25">
          <cell r="E25">
            <v>3119.8</v>
          </cell>
        </row>
        <row r="26">
          <cell r="E26">
            <v>35141.359999999993</v>
          </cell>
        </row>
        <row r="27">
          <cell r="E27">
            <v>36746.272000000004</v>
          </cell>
        </row>
        <row r="28">
          <cell r="E28">
            <v>20003.439999999999</v>
          </cell>
        </row>
        <row r="29">
          <cell r="E29">
            <v>23264.805</v>
          </cell>
        </row>
        <row r="30">
          <cell r="E30">
            <v>33863.280200000001</v>
          </cell>
        </row>
        <row r="31">
          <cell r="E31">
            <v>23035.424500000001</v>
          </cell>
        </row>
        <row r="32">
          <cell r="E32">
            <v>48157.8</v>
          </cell>
        </row>
        <row r="33">
          <cell r="E33" t="e">
            <v>#N/A</v>
          </cell>
        </row>
        <row r="34">
          <cell r="E34" t="e">
            <v>#N/A</v>
          </cell>
        </row>
        <row r="35">
          <cell r="E35" t="e">
            <v>#N/A</v>
          </cell>
        </row>
        <row r="36">
          <cell r="E36" t="e">
            <v>#N/A</v>
          </cell>
        </row>
        <row r="37">
          <cell r="E37" t="e">
            <v>#N/A</v>
          </cell>
        </row>
        <row r="38">
          <cell r="E38" t="e">
            <v>#N/A</v>
          </cell>
        </row>
        <row r="39">
          <cell r="E39" t="e">
            <v>#N/A</v>
          </cell>
        </row>
        <row r="40">
          <cell r="E40" t="e">
            <v>#N/A</v>
          </cell>
        </row>
        <row r="41">
          <cell r="E41" t="e">
            <v>#N/A</v>
          </cell>
        </row>
        <row r="42">
          <cell r="E42" t="e">
            <v>#N/A</v>
          </cell>
        </row>
        <row r="43">
          <cell r="E43" t="e">
            <v>#N/A</v>
          </cell>
        </row>
        <row r="44">
          <cell r="E44" t="e">
            <v>#N/A</v>
          </cell>
        </row>
        <row r="45">
          <cell r="E45" t="e">
            <v>#N/A</v>
          </cell>
        </row>
        <row r="46">
          <cell r="E46" t="e">
            <v>#N/A</v>
          </cell>
        </row>
        <row r="47">
          <cell r="E47" t="e">
            <v>#N/A</v>
          </cell>
        </row>
        <row r="49">
          <cell r="E49" t="e">
            <v>#N/A</v>
          </cell>
        </row>
        <row r="50">
          <cell r="E50" t="e">
            <v>#N/A</v>
          </cell>
        </row>
        <row r="51">
          <cell r="E51" t="e">
            <v>#N/A</v>
          </cell>
        </row>
        <row r="52">
          <cell r="E52" t="e">
            <v>#N/A</v>
          </cell>
        </row>
        <row r="53">
          <cell r="E53" t="e">
            <v>#N/A</v>
          </cell>
        </row>
        <row r="54">
          <cell r="E54" t="e">
            <v>#N/A</v>
          </cell>
        </row>
        <row r="55">
          <cell r="E55" t="e">
            <v>#N/A</v>
          </cell>
        </row>
        <row r="56">
          <cell r="E56" t="e">
            <v>#N/A</v>
          </cell>
        </row>
        <row r="57">
          <cell r="E57" t="e">
            <v>#N/A</v>
          </cell>
        </row>
        <row r="58">
          <cell r="E58" t="e">
            <v>#N/A</v>
          </cell>
        </row>
        <row r="59">
          <cell r="E59" t="e">
            <v>#N/A</v>
          </cell>
        </row>
        <row r="60">
          <cell r="E60" t="e">
            <v>#N/A</v>
          </cell>
        </row>
        <row r="61">
          <cell r="E61" t="e">
            <v>#N/A</v>
          </cell>
        </row>
        <row r="62">
          <cell r="E62" t="e">
            <v>#N/A</v>
          </cell>
        </row>
        <row r="63">
          <cell r="E63" t="e">
            <v>#N/A</v>
          </cell>
        </row>
        <row r="64">
          <cell r="E64" t="e">
            <v>#N/A</v>
          </cell>
        </row>
        <row r="65">
          <cell r="E65" t="e">
            <v>#N/A</v>
          </cell>
        </row>
        <row r="66">
          <cell r="E66" t="e">
            <v>#N/A</v>
          </cell>
        </row>
        <row r="67">
          <cell r="E67" t="e">
            <v>#N/A</v>
          </cell>
        </row>
        <row r="68">
          <cell r="E68" t="e">
            <v>#N/A</v>
          </cell>
        </row>
        <row r="69">
          <cell r="E69" t="e">
            <v>#N/A</v>
          </cell>
        </row>
        <row r="70">
          <cell r="E70" t="e">
            <v>#N/A</v>
          </cell>
        </row>
        <row r="71">
          <cell r="E71" t="e">
            <v>#N/A</v>
          </cell>
        </row>
        <row r="72">
          <cell r="E72" t="e">
            <v>#N/A</v>
          </cell>
        </row>
        <row r="73">
          <cell r="E73" t="e">
            <v>#N/A</v>
          </cell>
        </row>
        <row r="74">
          <cell r="E74" t="e">
            <v>#N/A</v>
          </cell>
        </row>
        <row r="75">
          <cell r="E75" t="e">
            <v>#N/A</v>
          </cell>
        </row>
        <row r="76">
          <cell r="E76" t="e">
            <v>#N/A</v>
          </cell>
        </row>
        <row r="77">
          <cell r="E77" t="e">
            <v>#N/A</v>
          </cell>
        </row>
        <row r="78">
          <cell r="E78" t="e">
            <v>#N/A</v>
          </cell>
        </row>
        <row r="79">
          <cell r="E79" t="e">
            <v>#N/A</v>
          </cell>
        </row>
        <row r="80">
          <cell r="E80" t="e">
            <v>#N/A</v>
          </cell>
        </row>
        <row r="81">
          <cell r="E81" t="e">
            <v>#N/A</v>
          </cell>
        </row>
        <row r="82">
          <cell r="E82" t="e">
            <v>#N/A</v>
          </cell>
        </row>
        <row r="83">
          <cell r="E83" t="e">
            <v>#N/A</v>
          </cell>
        </row>
        <row r="84">
          <cell r="E84" t="e">
            <v>#N/A</v>
          </cell>
        </row>
        <row r="85">
          <cell r="E85" t="e">
            <v>#N/A</v>
          </cell>
        </row>
        <row r="86">
          <cell r="E86" t="e">
            <v>#N/A</v>
          </cell>
        </row>
        <row r="87">
          <cell r="E87" t="e">
            <v>#N/A</v>
          </cell>
        </row>
        <row r="88">
          <cell r="E88" t="e">
            <v>#N/A</v>
          </cell>
        </row>
        <row r="89">
          <cell r="E89" t="e">
            <v>#N/A</v>
          </cell>
        </row>
        <row r="90">
          <cell r="E90" t="e">
            <v>#N/A</v>
          </cell>
        </row>
        <row r="91">
          <cell r="E91" t="e">
            <v>#N/A</v>
          </cell>
        </row>
        <row r="92">
          <cell r="E92" t="e">
            <v>#N/A</v>
          </cell>
        </row>
        <row r="93">
          <cell r="E93" t="e">
            <v>#N/A</v>
          </cell>
        </row>
        <row r="94">
          <cell r="E94" t="e">
            <v>#N/A</v>
          </cell>
        </row>
        <row r="95">
          <cell r="E95" t="e">
            <v>#N/A</v>
          </cell>
        </row>
        <row r="96">
          <cell r="E96" t="e">
            <v>#N/A</v>
          </cell>
        </row>
        <row r="97">
          <cell r="E97" t="e">
            <v>#N/A</v>
          </cell>
        </row>
        <row r="98">
          <cell r="E98" t="e">
            <v>#N/A</v>
          </cell>
        </row>
        <row r="99">
          <cell r="E99" t="e">
            <v>#N/A</v>
          </cell>
        </row>
        <row r="100">
          <cell r="E100" t="e">
            <v>#N/A</v>
          </cell>
        </row>
        <row r="101">
          <cell r="E101" t="e">
            <v>#N/A</v>
          </cell>
        </row>
        <row r="102">
          <cell r="E102" t="e">
            <v>#N/A</v>
          </cell>
        </row>
        <row r="103">
          <cell r="E103" t="e">
            <v>#N/A</v>
          </cell>
        </row>
        <row r="104">
          <cell r="E104" t="e">
            <v>#N/A</v>
          </cell>
        </row>
        <row r="105">
          <cell r="E105" t="e">
            <v>#N/A</v>
          </cell>
        </row>
        <row r="106">
          <cell r="E106" t="e">
            <v>#N/A</v>
          </cell>
        </row>
        <row r="107">
          <cell r="E107" t="e">
            <v>#N/A</v>
          </cell>
        </row>
        <row r="108">
          <cell r="E108" t="e">
            <v>#N/A</v>
          </cell>
        </row>
        <row r="109">
          <cell r="E109" t="e">
            <v>#N/A</v>
          </cell>
        </row>
        <row r="110">
          <cell r="E110" t="e">
            <v>#N/A</v>
          </cell>
        </row>
        <row r="111">
          <cell r="E111" t="e">
            <v>#N/A</v>
          </cell>
        </row>
        <row r="112">
          <cell r="E112" t="e">
            <v>#N/A</v>
          </cell>
        </row>
        <row r="113">
          <cell r="E113" t="e">
            <v>#N/A</v>
          </cell>
        </row>
        <row r="114">
          <cell r="E114" t="e">
            <v>#N/A</v>
          </cell>
        </row>
        <row r="115">
          <cell r="E115" t="e">
            <v>#N/A</v>
          </cell>
        </row>
        <row r="116">
          <cell r="E116" t="e">
            <v>#N/A</v>
          </cell>
        </row>
        <row r="117">
          <cell r="E117" t="e">
            <v>#N/A</v>
          </cell>
        </row>
        <row r="118">
          <cell r="E118" t="e">
            <v>#N/A</v>
          </cell>
        </row>
        <row r="119">
          <cell r="E119" t="e">
            <v>#N/A</v>
          </cell>
        </row>
        <row r="120">
          <cell r="E120" t="e">
            <v>#N/A</v>
          </cell>
        </row>
        <row r="121">
          <cell r="E121" t="e">
            <v>#N/A</v>
          </cell>
        </row>
        <row r="122">
          <cell r="E122" t="e">
            <v>#N/A</v>
          </cell>
        </row>
        <row r="123">
          <cell r="E123" t="e">
            <v>#N/A</v>
          </cell>
        </row>
        <row r="124">
          <cell r="E124" t="e">
            <v>#N/A</v>
          </cell>
        </row>
        <row r="125">
          <cell r="E125" t="e">
            <v>#N/A</v>
          </cell>
        </row>
        <row r="126">
          <cell r="E126" t="e">
            <v>#N/A</v>
          </cell>
        </row>
        <row r="127">
          <cell r="E127" t="e">
            <v>#N/A</v>
          </cell>
        </row>
        <row r="128">
          <cell r="E128" t="e">
            <v>#N/A</v>
          </cell>
        </row>
        <row r="129">
          <cell r="E129" t="e">
            <v>#N/A</v>
          </cell>
        </row>
        <row r="130">
          <cell r="E130" t="e">
            <v>#N/A</v>
          </cell>
        </row>
        <row r="131">
          <cell r="E131" t="e">
            <v>#N/A</v>
          </cell>
        </row>
        <row r="132">
          <cell r="E132" t="e">
            <v>#N/A</v>
          </cell>
        </row>
        <row r="133">
          <cell r="E133" t="e">
            <v>#N/A</v>
          </cell>
        </row>
        <row r="134">
          <cell r="E134" t="e">
            <v>#N/A</v>
          </cell>
        </row>
        <row r="135">
          <cell r="E135" t="e">
            <v>#N/A</v>
          </cell>
        </row>
        <row r="136">
          <cell r="E136" t="e">
            <v>#N/A</v>
          </cell>
        </row>
        <row r="137">
          <cell r="E137" t="e">
            <v>#N/A</v>
          </cell>
        </row>
        <row r="138">
          <cell r="E138" t="e">
            <v>#N/A</v>
          </cell>
        </row>
        <row r="139">
          <cell r="E139" t="e">
            <v>#N/A</v>
          </cell>
        </row>
        <row r="140">
          <cell r="E140" t="e">
            <v>#N/A</v>
          </cell>
        </row>
        <row r="141">
          <cell r="E141" t="e">
            <v>#N/A</v>
          </cell>
        </row>
        <row r="142">
          <cell r="E142" t="e">
            <v>#N/A</v>
          </cell>
        </row>
        <row r="143">
          <cell r="E143" t="e">
            <v>#N/A</v>
          </cell>
        </row>
        <row r="144">
          <cell r="E144" t="e">
            <v>#N/A</v>
          </cell>
        </row>
        <row r="145">
          <cell r="E145" t="e">
            <v>#N/A</v>
          </cell>
        </row>
        <row r="146">
          <cell r="E146" t="e">
            <v>#N/A</v>
          </cell>
        </row>
        <row r="147">
          <cell r="E147" t="e">
            <v>#N/A</v>
          </cell>
        </row>
        <row r="148">
          <cell r="E148" t="e">
            <v>#N/A</v>
          </cell>
        </row>
        <row r="149">
          <cell r="E149" t="e">
            <v>#N/A</v>
          </cell>
        </row>
        <row r="150">
          <cell r="E150" t="e">
            <v>#N/A</v>
          </cell>
        </row>
        <row r="151">
          <cell r="E151" t="e">
            <v>#N/A</v>
          </cell>
        </row>
        <row r="152">
          <cell r="E152" t="e">
            <v>#N/A</v>
          </cell>
        </row>
        <row r="153">
          <cell r="E153" t="e">
            <v>#N/A</v>
          </cell>
        </row>
        <row r="154">
          <cell r="E154" t="e">
            <v>#N/A</v>
          </cell>
        </row>
        <row r="155">
          <cell r="E155" t="e">
            <v>#N/A</v>
          </cell>
        </row>
        <row r="156">
          <cell r="E156" t="e">
            <v>#N/A</v>
          </cell>
        </row>
        <row r="157">
          <cell r="E157" t="e">
            <v>#N/A</v>
          </cell>
        </row>
        <row r="158">
          <cell r="E158" t="e">
            <v>#N/A</v>
          </cell>
        </row>
        <row r="159">
          <cell r="E159" t="e">
            <v>#N/A</v>
          </cell>
        </row>
        <row r="160">
          <cell r="E160" t="e">
            <v>#N/A</v>
          </cell>
        </row>
        <row r="161">
          <cell r="E161" t="e">
            <v>#N/A</v>
          </cell>
        </row>
        <row r="162">
          <cell r="E162" t="e">
            <v>#N/A</v>
          </cell>
        </row>
        <row r="163">
          <cell r="E163" t="e">
            <v>#N/A</v>
          </cell>
        </row>
        <row r="164">
          <cell r="E164" t="e">
            <v>#N/A</v>
          </cell>
        </row>
        <row r="165">
          <cell r="E165" t="e">
            <v>#N/A</v>
          </cell>
        </row>
        <row r="166">
          <cell r="E166" t="e">
            <v>#N/A</v>
          </cell>
        </row>
        <row r="167">
          <cell r="E167" t="e">
            <v>#N/A</v>
          </cell>
        </row>
        <row r="168">
          <cell r="E168" t="e">
            <v>#N/A</v>
          </cell>
        </row>
        <row r="169">
          <cell r="E169" t="e">
            <v>#N/A</v>
          </cell>
        </row>
        <row r="170">
          <cell r="E170" t="e">
            <v>#N/A</v>
          </cell>
        </row>
        <row r="171">
          <cell r="E171" t="e">
            <v>#N/A</v>
          </cell>
        </row>
        <row r="172">
          <cell r="E172" t="e">
            <v>#N/A</v>
          </cell>
        </row>
        <row r="173">
          <cell r="E173" t="e">
            <v>#N/A</v>
          </cell>
        </row>
        <row r="174">
          <cell r="E174" t="e">
            <v>#N/A</v>
          </cell>
        </row>
        <row r="175">
          <cell r="E175" t="e">
            <v>#N/A</v>
          </cell>
        </row>
        <row r="176">
          <cell r="E176" t="e">
            <v>#N/A</v>
          </cell>
        </row>
        <row r="177">
          <cell r="E177" t="e">
            <v>#N/A</v>
          </cell>
        </row>
        <row r="178">
          <cell r="E178" t="e">
            <v>#N/A</v>
          </cell>
        </row>
        <row r="179">
          <cell r="E179" t="e">
            <v>#N/A</v>
          </cell>
        </row>
        <row r="180">
          <cell r="E180" t="e">
            <v>#N/A</v>
          </cell>
        </row>
        <row r="181">
          <cell r="E181" t="e">
            <v>#N/A</v>
          </cell>
        </row>
        <row r="182">
          <cell r="E182" t="e">
            <v>#N/A</v>
          </cell>
        </row>
        <row r="183">
          <cell r="E183" t="e">
            <v>#N/A</v>
          </cell>
        </row>
        <row r="184">
          <cell r="E184" t="e">
            <v>#N/A</v>
          </cell>
        </row>
        <row r="185">
          <cell r="E185" t="e">
            <v>#N/A</v>
          </cell>
        </row>
        <row r="186">
          <cell r="E186" t="e">
            <v>#N/A</v>
          </cell>
        </row>
        <row r="187">
          <cell r="E187" t="e">
            <v>#N/A</v>
          </cell>
        </row>
        <row r="188">
          <cell r="E188" t="e">
            <v>#N/A</v>
          </cell>
        </row>
        <row r="189">
          <cell r="E189" t="e">
            <v>#N/A</v>
          </cell>
        </row>
        <row r="190">
          <cell r="E190" t="e">
            <v>#N/A</v>
          </cell>
        </row>
        <row r="191">
          <cell r="E191" t="e">
            <v>#N/A</v>
          </cell>
        </row>
        <row r="192">
          <cell r="E192" t="e">
            <v>#N/A</v>
          </cell>
        </row>
        <row r="193">
          <cell r="E193" t="e">
            <v>#N/A</v>
          </cell>
        </row>
        <row r="194">
          <cell r="E194" t="e">
            <v>#N/A</v>
          </cell>
        </row>
        <row r="195">
          <cell r="E195" t="e">
            <v>#N/A</v>
          </cell>
        </row>
        <row r="196">
          <cell r="E196" t="e">
            <v>#N/A</v>
          </cell>
        </row>
        <row r="197">
          <cell r="E197" t="e">
            <v>#N/A</v>
          </cell>
        </row>
        <row r="198">
          <cell r="E198" t="e">
            <v>#N/A</v>
          </cell>
        </row>
        <row r="199">
          <cell r="E199" t="e">
            <v>#N/A</v>
          </cell>
        </row>
        <row r="200">
          <cell r="E200" t="e">
            <v>#N/A</v>
          </cell>
        </row>
        <row r="201">
          <cell r="E201" t="e">
            <v>#N/A</v>
          </cell>
        </row>
        <row r="202">
          <cell r="E202" t="e">
            <v>#N/A</v>
          </cell>
        </row>
        <row r="203">
          <cell r="E203" t="e">
            <v>#N/A</v>
          </cell>
        </row>
        <row r="204">
          <cell r="E204" t="e">
            <v>#N/A</v>
          </cell>
        </row>
        <row r="205">
          <cell r="E205" t="e">
            <v>#N/A</v>
          </cell>
        </row>
        <row r="206">
          <cell r="E206" t="e">
            <v>#N/A</v>
          </cell>
        </row>
        <row r="207">
          <cell r="E207" t="e">
            <v>#N/A</v>
          </cell>
        </row>
        <row r="208">
          <cell r="E208" t="e">
            <v>#N/A</v>
          </cell>
        </row>
        <row r="209">
          <cell r="E209" t="e">
            <v>#N/A</v>
          </cell>
        </row>
        <row r="210">
          <cell r="E210" t="e">
            <v>#N/A</v>
          </cell>
        </row>
        <row r="211">
          <cell r="E211" t="e">
            <v>#N/A</v>
          </cell>
        </row>
        <row r="212">
          <cell r="E212" t="e">
            <v>#N/A</v>
          </cell>
        </row>
        <row r="213">
          <cell r="E213" t="e">
            <v>#N/A</v>
          </cell>
        </row>
        <row r="214">
          <cell r="E214" t="e">
            <v>#N/A</v>
          </cell>
        </row>
        <row r="215">
          <cell r="E215" t="e">
            <v>#N/A</v>
          </cell>
        </row>
        <row r="216">
          <cell r="E216" t="e">
            <v>#N/A</v>
          </cell>
        </row>
        <row r="217">
          <cell r="E217" t="e">
            <v>#N/A</v>
          </cell>
        </row>
        <row r="218">
          <cell r="E218" t="e">
            <v>#N/A</v>
          </cell>
        </row>
        <row r="219">
          <cell r="E219" t="e">
            <v>#N/A</v>
          </cell>
        </row>
        <row r="220">
          <cell r="E220" t="e">
            <v>#N/A</v>
          </cell>
        </row>
        <row r="221">
          <cell r="E221" t="e">
            <v>#N/A</v>
          </cell>
        </row>
        <row r="222">
          <cell r="E222" t="e">
            <v>#N/A</v>
          </cell>
        </row>
        <row r="223">
          <cell r="E223" t="e">
            <v>#N/A</v>
          </cell>
        </row>
        <row r="224">
          <cell r="E224" t="e">
            <v>#N/A</v>
          </cell>
        </row>
        <row r="225">
          <cell r="E225" t="e">
            <v>#N/A</v>
          </cell>
        </row>
        <row r="226">
          <cell r="E226" t="e">
            <v>#N/A</v>
          </cell>
        </row>
        <row r="227">
          <cell r="E227" t="e">
            <v>#N/A</v>
          </cell>
        </row>
        <row r="228">
          <cell r="E228" t="e">
            <v>#N/A</v>
          </cell>
        </row>
        <row r="229">
          <cell r="E229" t="e">
            <v>#N/A</v>
          </cell>
        </row>
        <row r="230">
          <cell r="E230" t="e">
            <v>#N/A</v>
          </cell>
        </row>
        <row r="231">
          <cell r="E231" t="e">
            <v>#N/A</v>
          </cell>
        </row>
        <row r="232">
          <cell r="E232" t="e">
            <v>#N/A</v>
          </cell>
        </row>
        <row r="233">
          <cell r="E233" t="e">
            <v>#N/A</v>
          </cell>
        </row>
        <row r="234">
          <cell r="E234" t="e">
            <v>#N/A</v>
          </cell>
        </row>
        <row r="235">
          <cell r="E235" t="e">
            <v>#N/A</v>
          </cell>
        </row>
        <row r="236">
          <cell r="E236" t="e">
            <v>#N/A</v>
          </cell>
        </row>
        <row r="237">
          <cell r="E237" t="e">
            <v>#N/A</v>
          </cell>
        </row>
        <row r="238">
          <cell r="E238" t="e">
            <v>#N/A</v>
          </cell>
        </row>
        <row r="239">
          <cell r="E239" t="e">
            <v>#N/A</v>
          </cell>
        </row>
        <row r="240">
          <cell r="E240" t="e">
            <v>#N/A</v>
          </cell>
        </row>
        <row r="241">
          <cell r="E241" t="e">
            <v>#N/A</v>
          </cell>
        </row>
        <row r="242">
          <cell r="E242" t="e">
            <v>#N/A</v>
          </cell>
        </row>
        <row r="243">
          <cell r="E243" t="e">
            <v>#N/A</v>
          </cell>
        </row>
        <row r="244">
          <cell r="E244" t="e">
            <v>#N/A</v>
          </cell>
        </row>
        <row r="245">
          <cell r="E245" t="e">
            <v>#N/A</v>
          </cell>
        </row>
        <row r="246">
          <cell r="E246" t="e">
            <v>#N/A</v>
          </cell>
        </row>
        <row r="247">
          <cell r="E247" t="e">
            <v>#N/A</v>
          </cell>
        </row>
        <row r="248">
          <cell r="E248" t="e">
            <v>#N/A</v>
          </cell>
        </row>
        <row r="249">
          <cell r="E249" t="e">
            <v>#N/A</v>
          </cell>
        </row>
        <row r="250">
          <cell r="E250" t="e">
            <v>#N/A</v>
          </cell>
        </row>
        <row r="251">
          <cell r="E251" t="e">
            <v>#N/A</v>
          </cell>
        </row>
        <row r="252">
          <cell r="E252" t="e">
            <v>#N/A</v>
          </cell>
        </row>
        <row r="253">
          <cell r="E253" t="e">
            <v>#N/A</v>
          </cell>
        </row>
        <row r="254">
          <cell r="E254" t="e">
            <v>#N/A</v>
          </cell>
        </row>
        <row r="255">
          <cell r="E255" t="e">
            <v>#N/A</v>
          </cell>
        </row>
        <row r="256">
          <cell r="E256" t="e">
            <v>#N/A</v>
          </cell>
        </row>
        <row r="257">
          <cell r="E257" t="e">
            <v>#N/A</v>
          </cell>
        </row>
        <row r="258">
          <cell r="E258" t="e">
            <v>#N/A</v>
          </cell>
        </row>
        <row r="259">
          <cell r="E259" t="e">
            <v>#N/A</v>
          </cell>
        </row>
        <row r="260">
          <cell r="E260" t="e">
            <v>#N/A</v>
          </cell>
        </row>
        <row r="261">
          <cell r="E261" t="e">
            <v>#N/A</v>
          </cell>
        </row>
        <row r="262">
          <cell r="E262" t="e">
            <v>#N/A</v>
          </cell>
        </row>
        <row r="263">
          <cell r="E263" t="e">
            <v>#N/A</v>
          </cell>
        </row>
        <row r="264">
          <cell r="E264" t="e">
            <v>#N/A</v>
          </cell>
        </row>
        <row r="265">
          <cell r="E265" t="e">
            <v>#N/A</v>
          </cell>
        </row>
        <row r="266">
          <cell r="E266" t="e">
            <v>#N/A</v>
          </cell>
        </row>
        <row r="267">
          <cell r="E267" t="e">
            <v>#N/A</v>
          </cell>
        </row>
        <row r="268">
          <cell r="E268" t="e">
            <v>#N/A</v>
          </cell>
        </row>
        <row r="269">
          <cell r="E269" t="e">
            <v>#N/A</v>
          </cell>
        </row>
        <row r="270">
          <cell r="E270" t="e">
            <v>#N/A</v>
          </cell>
        </row>
        <row r="271">
          <cell r="E271" t="e">
            <v>#N/A</v>
          </cell>
        </row>
        <row r="272">
          <cell r="E272" t="e">
            <v>#N/A</v>
          </cell>
        </row>
        <row r="273">
          <cell r="E273" t="e">
            <v>#N/A</v>
          </cell>
        </row>
        <row r="274">
          <cell r="E274" t="e">
            <v>#N/A</v>
          </cell>
        </row>
        <row r="275">
          <cell r="E275" t="e">
            <v>#N/A</v>
          </cell>
        </row>
        <row r="276">
          <cell r="E276" t="e">
            <v>#N/A</v>
          </cell>
        </row>
        <row r="277">
          <cell r="E277" t="e">
            <v>#N/A</v>
          </cell>
        </row>
        <row r="278">
          <cell r="E278" t="e">
            <v>#N/A</v>
          </cell>
        </row>
        <row r="279">
          <cell r="E279" t="e">
            <v>#N/A</v>
          </cell>
        </row>
        <row r="280">
          <cell r="E280" t="e">
            <v>#N/A</v>
          </cell>
        </row>
        <row r="281">
          <cell r="E281" t="e">
            <v>#N/A</v>
          </cell>
        </row>
        <row r="282">
          <cell r="E282" t="e">
            <v>#N/A</v>
          </cell>
        </row>
        <row r="283">
          <cell r="E283" t="e">
            <v>#N/A</v>
          </cell>
        </row>
        <row r="284">
          <cell r="E284" t="e">
            <v>#N/A</v>
          </cell>
        </row>
        <row r="285">
          <cell r="E285" t="e">
            <v>#N/A</v>
          </cell>
        </row>
        <row r="286">
          <cell r="E286" t="e">
            <v>#N/A</v>
          </cell>
        </row>
        <row r="287">
          <cell r="E287" t="e">
            <v>#N/A</v>
          </cell>
        </row>
        <row r="288">
          <cell r="E288" t="e">
            <v>#N/A</v>
          </cell>
        </row>
        <row r="289">
          <cell r="E289" t="e">
            <v>#N/A</v>
          </cell>
        </row>
        <row r="290">
          <cell r="E290" t="e">
            <v>#N/A</v>
          </cell>
        </row>
        <row r="291">
          <cell r="E291" t="e">
            <v>#N/A</v>
          </cell>
        </row>
        <row r="292">
          <cell r="E292" t="e">
            <v>#N/A</v>
          </cell>
        </row>
        <row r="293">
          <cell r="E293" t="e">
            <v>#N/A</v>
          </cell>
        </row>
        <row r="294">
          <cell r="E294" t="e">
            <v>#N/A</v>
          </cell>
        </row>
        <row r="295">
          <cell r="E295" t="e">
            <v>#N/A</v>
          </cell>
        </row>
        <row r="296">
          <cell r="E296" t="e">
            <v>#N/A</v>
          </cell>
        </row>
        <row r="297">
          <cell r="E297" t="e">
            <v>#N/A</v>
          </cell>
        </row>
        <row r="298">
          <cell r="E298" t="e">
            <v>#N/A</v>
          </cell>
        </row>
        <row r="299">
          <cell r="E299" t="e">
            <v>#N/A</v>
          </cell>
        </row>
        <row r="300">
          <cell r="E300" t="e">
            <v>#N/A</v>
          </cell>
        </row>
        <row r="301">
          <cell r="E301" t="e">
            <v>#N/A</v>
          </cell>
        </row>
        <row r="302">
          <cell r="E302" t="e">
            <v>#N/A</v>
          </cell>
        </row>
        <row r="303">
          <cell r="E303" t="e">
            <v>#N/A</v>
          </cell>
        </row>
        <row r="304">
          <cell r="E304" t="e">
            <v>#N/A</v>
          </cell>
        </row>
        <row r="305">
          <cell r="E305" t="e">
            <v>#N/A</v>
          </cell>
        </row>
        <row r="306">
          <cell r="E306" t="e">
            <v>#N/A</v>
          </cell>
        </row>
        <row r="307">
          <cell r="E307" t="e">
            <v>#N/A</v>
          </cell>
        </row>
        <row r="308">
          <cell r="E308" t="e">
            <v>#N/A</v>
          </cell>
        </row>
        <row r="309">
          <cell r="E309" t="e">
            <v>#N/A</v>
          </cell>
        </row>
        <row r="310">
          <cell r="E310" t="e">
            <v>#N/A</v>
          </cell>
        </row>
        <row r="311">
          <cell r="E311" t="e">
            <v>#N/A</v>
          </cell>
        </row>
        <row r="312">
          <cell r="E312" t="e">
            <v>#N/A</v>
          </cell>
        </row>
        <row r="313">
          <cell r="E313" t="e">
            <v>#N/A</v>
          </cell>
        </row>
        <row r="314">
          <cell r="E314" t="e">
            <v>#N/A</v>
          </cell>
        </row>
        <row r="315">
          <cell r="E315" t="e">
            <v>#N/A</v>
          </cell>
        </row>
        <row r="316">
          <cell r="E316" t="e">
            <v>#N/A</v>
          </cell>
        </row>
        <row r="317">
          <cell r="E317" t="e">
            <v>#N/A</v>
          </cell>
        </row>
        <row r="318">
          <cell r="E318" t="e">
            <v>#N/A</v>
          </cell>
        </row>
        <row r="319">
          <cell r="E319" t="e">
            <v>#N/A</v>
          </cell>
        </row>
        <row r="320">
          <cell r="E320" t="e">
            <v>#N/A</v>
          </cell>
        </row>
        <row r="321">
          <cell r="E321" t="e">
            <v>#N/A</v>
          </cell>
        </row>
        <row r="322">
          <cell r="E322" t="e">
            <v>#N/A</v>
          </cell>
        </row>
        <row r="323">
          <cell r="E323" t="e">
            <v>#N/A</v>
          </cell>
        </row>
        <row r="324">
          <cell r="E324" t="e">
            <v>#N/A</v>
          </cell>
        </row>
        <row r="325">
          <cell r="E325" t="e">
            <v>#N/A</v>
          </cell>
        </row>
        <row r="326">
          <cell r="E326" t="e">
            <v>#N/A</v>
          </cell>
        </row>
        <row r="327">
          <cell r="E327" t="e">
            <v>#N/A</v>
          </cell>
        </row>
        <row r="328">
          <cell r="E328" t="e">
            <v>#N/A</v>
          </cell>
        </row>
        <row r="329">
          <cell r="E329" t="e">
            <v>#N/A</v>
          </cell>
        </row>
        <row r="330">
          <cell r="E330" t="e">
            <v>#N/A</v>
          </cell>
        </row>
        <row r="331">
          <cell r="E331" t="e">
            <v>#N/A</v>
          </cell>
        </row>
        <row r="332">
          <cell r="E332" t="e">
            <v>#N/A</v>
          </cell>
        </row>
        <row r="333">
          <cell r="E333" t="e">
            <v>#N/A</v>
          </cell>
        </row>
        <row r="334">
          <cell r="E334" t="e">
            <v>#N/A</v>
          </cell>
        </row>
        <row r="335">
          <cell r="E335" t="e">
            <v>#N/A</v>
          </cell>
        </row>
        <row r="336">
          <cell r="E336" t="e">
            <v>#N/A</v>
          </cell>
        </row>
        <row r="337">
          <cell r="E337" t="e">
            <v>#N/A</v>
          </cell>
        </row>
        <row r="338">
          <cell r="E338" t="e">
            <v>#N/A</v>
          </cell>
        </row>
        <row r="339">
          <cell r="E339" t="e">
            <v>#N/A</v>
          </cell>
        </row>
        <row r="340">
          <cell r="E340" t="e">
            <v>#N/A</v>
          </cell>
        </row>
        <row r="341">
          <cell r="E341" t="e">
            <v>#N/A</v>
          </cell>
        </row>
        <row r="342">
          <cell r="E342" t="e">
            <v>#N/A</v>
          </cell>
        </row>
        <row r="343">
          <cell r="E343" t="e">
            <v>#N/A</v>
          </cell>
        </row>
        <row r="344">
          <cell r="E344" t="e">
            <v>#N/A</v>
          </cell>
        </row>
        <row r="345">
          <cell r="E345" t="e">
            <v>#N/A</v>
          </cell>
        </row>
        <row r="346">
          <cell r="E346" t="e">
            <v>#N/A</v>
          </cell>
        </row>
        <row r="347">
          <cell r="E347" t="e">
            <v>#N/A</v>
          </cell>
        </row>
        <row r="348">
          <cell r="E348" t="e">
            <v>#N/A</v>
          </cell>
        </row>
        <row r="349">
          <cell r="E349" t="e">
            <v>#N/A</v>
          </cell>
        </row>
        <row r="350">
          <cell r="E350" t="e">
            <v>#N/A</v>
          </cell>
        </row>
        <row r="351">
          <cell r="E351" t="e">
            <v>#N/A</v>
          </cell>
        </row>
        <row r="352">
          <cell r="E352" t="e">
            <v>#N/A</v>
          </cell>
        </row>
        <row r="353">
          <cell r="E353" t="e">
            <v>#N/A</v>
          </cell>
        </row>
        <row r="354">
          <cell r="E354" t="e">
            <v>#N/A</v>
          </cell>
        </row>
        <row r="355">
          <cell r="E355" t="e">
            <v>#N/A</v>
          </cell>
        </row>
        <row r="356">
          <cell r="E356" t="e">
            <v>#N/A</v>
          </cell>
        </row>
        <row r="357">
          <cell r="E357" t="e">
            <v>#N/A</v>
          </cell>
        </row>
        <row r="358">
          <cell r="E358" t="e">
            <v>#N/A</v>
          </cell>
        </row>
        <row r="359">
          <cell r="E359" t="e">
            <v>#N/A</v>
          </cell>
        </row>
        <row r="360">
          <cell r="E360" t="e">
            <v>#N/A</v>
          </cell>
        </row>
        <row r="361">
          <cell r="E361" t="e">
            <v>#N/A</v>
          </cell>
        </row>
        <row r="362">
          <cell r="E362" t="e">
            <v>#N/A</v>
          </cell>
        </row>
        <row r="363">
          <cell r="E363" t="e">
            <v>#N/A</v>
          </cell>
        </row>
        <row r="364">
          <cell r="E364" t="e">
            <v>#N/A</v>
          </cell>
        </row>
        <row r="365">
          <cell r="E365" t="e">
            <v>#N/A</v>
          </cell>
        </row>
        <row r="366">
          <cell r="E366" t="e">
            <v>#N/A</v>
          </cell>
        </row>
        <row r="367">
          <cell r="E367" t="e">
            <v>#N/A</v>
          </cell>
        </row>
        <row r="368">
          <cell r="E368" t="e">
            <v>#N/A</v>
          </cell>
        </row>
        <row r="369">
          <cell r="E369" t="e">
            <v>#N/A</v>
          </cell>
        </row>
        <row r="370">
          <cell r="E370" t="e">
            <v>#N/A</v>
          </cell>
        </row>
        <row r="371">
          <cell r="E371" t="e">
            <v>#N/A</v>
          </cell>
        </row>
        <row r="372">
          <cell r="E372" t="e">
            <v>#N/A</v>
          </cell>
        </row>
        <row r="373">
          <cell r="E373" t="e">
            <v>#N/A</v>
          </cell>
        </row>
        <row r="374">
          <cell r="E374" t="e">
            <v>#N/A</v>
          </cell>
        </row>
        <row r="375">
          <cell r="E375" t="e">
            <v>#N/A</v>
          </cell>
        </row>
        <row r="376">
          <cell r="E376" t="e">
            <v>#N/A</v>
          </cell>
        </row>
        <row r="377">
          <cell r="E377" t="e">
            <v>#N/A</v>
          </cell>
        </row>
        <row r="378">
          <cell r="E378" t="e">
            <v>#N/A</v>
          </cell>
        </row>
        <row r="379">
          <cell r="E379" t="e">
            <v>#N/A</v>
          </cell>
        </row>
        <row r="380">
          <cell r="E380" t="e">
            <v>#N/A</v>
          </cell>
        </row>
        <row r="381">
          <cell r="E381" t="e">
            <v>#N/A</v>
          </cell>
        </row>
        <row r="382">
          <cell r="E382" t="e">
            <v>#N/A</v>
          </cell>
        </row>
        <row r="383">
          <cell r="E383" t="e">
            <v>#N/A</v>
          </cell>
        </row>
        <row r="384">
          <cell r="E384" t="e">
            <v>#N/A</v>
          </cell>
        </row>
        <row r="385">
          <cell r="E385" t="e">
            <v>#N/A</v>
          </cell>
        </row>
        <row r="386">
          <cell r="E386" t="e">
            <v>#N/A</v>
          </cell>
        </row>
        <row r="387">
          <cell r="E387" t="e">
            <v>#N/A</v>
          </cell>
        </row>
        <row r="388">
          <cell r="E388" t="e">
            <v>#N/A</v>
          </cell>
        </row>
        <row r="389">
          <cell r="E389" t="e">
            <v>#N/A</v>
          </cell>
        </row>
        <row r="390">
          <cell r="E390" t="e">
            <v>#N/A</v>
          </cell>
        </row>
        <row r="391">
          <cell r="E391" t="e">
            <v>#N/A</v>
          </cell>
        </row>
        <row r="392">
          <cell r="E392" t="e">
            <v>#N/A</v>
          </cell>
        </row>
        <row r="393">
          <cell r="E393" t="e">
            <v>#N/A</v>
          </cell>
        </row>
        <row r="394">
          <cell r="E394" t="e">
            <v>#N/A</v>
          </cell>
        </row>
        <row r="395">
          <cell r="E395" t="e">
            <v>#N/A</v>
          </cell>
        </row>
        <row r="396">
          <cell r="E396" t="e">
            <v>#N/A</v>
          </cell>
        </row>
        <row r="397">
          <cell r="E397" t="e">
            <v>#N/A</v>
          </cell>
        </row>
        <row r="398">
          <cell r="E398" t="e">
            <v>#N/A</v>
          </cell>
        </row>
        <row r="399">
          <cell r="E399" t="e">
            <v>#N/A</v>
          </cell>
        </row>
        <row r="400">
          <cell r="E400" t="e">
            <v>#N/A</v>
          </cell>
        </row>
        <row r="401">
          <cell r="E401" t="e">
            <v>#N/A</v>
          </cell>
        </row>
        <row r="402">
          <cell r="E402" t="e">
            <v>#N/A</v>
          </cell>
        </row>
        <row r="403">
          <cell r="E403" t="e">
            <v>#N/A</v>
          </cell>
        </row>
        <row r="404">
          <cell r="E404" t="e">
            <v>#N/A</v>
          </cell>
        </row>
        <row r="405">
          <cell r="E405" t="e">
            <v>#N/A</v>
          </cell>
        </row>
        <row r="406">
          <cell r="E406" t="e">
            <v>#N/A</v>
          </cell>
        </row>
        <row r="407">
          <cell r="E407" t="e">
            <v>#N/A</v>
          </cell>
        </row>
        <row r="408">
          <cell r="E408" t="e">
            <v>#N/A</v>
          </cell>
        </row>
        <row r="409">
          <cell r="E409" t="e">
            <v>#N/A</v>
          </cell>
        </row>
        <row r="410">
          <cell r="E410" t="e">
            <v>#N/A</v>
          </cell>
        </row>
        <row r="411">
          <cell r="E411" t="e">
            <v>#N/A</v>
          </cell>
        </row>
        <row r="412">
          <cell r="E412" t="e">
            <v>#N/A</v>
          </cell>
        </row>
        <row r="413">
          <cell r="E413" t="e">
            <v>#N/A</v>
          </cell>
        </row>
        <row r="414">
          <cell r="E414" t="e">
            <v>#N/A</v>
          </cell>
        </row>
        <row r="415">
          <cell r="E415" t="e">
            <v>#N/A</v>
          </cell>
        </row>
        <row r="416">
          <cell r="E416" t="e">
            <v>#N/A</v>
          </cell>
        </row>
        <row r="417">
          <cell r="E417" t="e">
            <v>#N/A</v>
          </cell>
        </row>
        <row r="418">
          <cell r="E418" t="e">
            <v>#N/A</v>
          </cell>
        </row>
        <row r="419">
          <cell r="E419" t="e">
            <v>#N/A</v>
          </cell>
        </row>
        <row r="420">
          <cell r="E420" t="e">
            <v>#N/A</v>
          </cell>
        </row>
        <row r="421">
          <cell r="E421" t="e">
            <v>#N/A</v>
          </cell>
        </row>
        <row r="422">
          <cell r="E422" t="e">
            <v>#N/A</v>
          </cell>
        </row>
        <row r="423">
          <cell r="E423" t="e">
            <v>#N/A</v>
          </cell>
        </row>
        <row r="424">
          <cell r="E424" t="e">
            <v>#N/A</v>
          </cell>
        </row>
        <row r="425">
          <cell r="E425" t="e">
            <v>#N/A</v>
          </cell>
        </row>
        <row r="426">
          <cell r="E426" t="e">
            <v>#N/A</v>
          </cell>
        </row>
        <row r="427">
          <cell r="E427" t="e">
            <v>#N/A</v>
          </cell>
        </row>
        <row r="428">
          <cell r="E428" t="e">
            <v>#N/A</v>
          </cell>
        </row>
        <row r="429">
          <cell r="E429" t="e">
            <v>#N/A</v>
          </cell>
        </row>
        <row r="430">
          <cell r="E430" t="e">
            <v>#N/A</v>
          </cell>
        </row>
        <row r="431">
          <cell r="E431" t="e">
            <v>#N/A</v>
          </cell>
        </row>
        <row r="432">
          <cell r="E432" t="e">
            <v>#N/A</v>
          </cell>
        </row>
        <row r="433">
          <cell r="E433" t="e">
            <v>#N/A</v>
          </cell>
        </row>
        <row r="434">
          <cell r="E434" t="e">
            <v>#N/A</v>
          </cell>
        </row>
        <row r="435">
          <cell r="E435" t="e">
            <v>#N/A</v>
          </cell>
        </row>
        <row r="436">
          <cell r="E436" t="e">
            <v>#N/A</v>
          </cell>
        </row>
        <row r="437">
          <cell r="E437" t="e">
            <v>#N/A</v>
          </cell>
        </row>
        <row r="438">
          <cell r="E438" t="e">
            <v>#N/A</v>
          </cell>
        </row>
        <row r="439">
          <cell r="E439" t="e">
            <v>#N/A</v>
          </cell>
        </row>
        <row r="440">
          <cell r="E440" t="e">
            <v>#N/A</v>
          </cell>
        </row>
        <row r="441">
          <cell r="E441" t="e">
            <v>#N/A</v>
          </cell>
        </row>
        <row r="442">
          <cell r="E442" t="e">
            <v>#N/A</v>
          </cell>
        </row>
        <row r="443">
          <cell r="E443" t="e">
            <v>#N/A</v>
          </cell>
        </row>
        <row r="444">
          <cell r="E444" t="e">
            <v>#N/A</v>
          </cell>
        </row>
        <row r="445">
          <cell r="E445" t="e">
            <v>#N/A</v>
          </cell>
        </row>
        <row r="446">
          <cell r="E446" t="e">
            <v>#N/A</v>
          </cell>
        </row>
        <row r="447">
          <cell r="E447" t="e">
            <v>#N/A</v>
          </cell>
        </row>
        <row r="448">
          <cell r="E448" t="e">
            <v>#N/A</v>
          </cell>
        </row>
        <row r="449">
          <cell r="E449" t="e">
            <v>#N/A</v>
          </cell>
        </row>
        <row r="450">
          <cell r="E450" t="e">
            <v>#N/A</v>
          </cell>
        </row>
        <row r="451">
          <cell r="E451" t="e">
            <v>#N/A</v>
          </cell>
        </row>
        <row r="452">
          <cell r="E452" t="e">
            <v>#N/A</v>
          </cell>
        </row>
        <row r="453">
          <cell r="E453" t="e">
            <v>#N/A</v>
          </cell>
        </row>
        <row r="454">
          <cell r="E454" t="e">
            <v>#N/A</v>
          </cell>
        </row>
        <row r="455">
          <cell r="E455" t="e">
            <v>#N/A</v>
          </cell>
        </row>
        <row r="456">
          <cell r="E456" t="e">
            <v>#N/A</v>
          </cell>
        </row>
        <row r="457">
          <cell r="E457" t="e">
            <v>#N/A</v>
          </cell>
        </row>
        <row r="458">
          <cell r="E458" t="e">
            <v>#N/A</v>
          </cell>
        </row>
        <row r="459">
          <cell r="E459" t="e">
            <v>#N/A</v>
          </cell>
        </row>
        <row r="460">
          <cell r="E460" t="e">
            <v>#N/A</v>
          </cell>
        </row>
        <row r="461">
          <cell r="E461" t="e">
            <v>#N/A</v>
          </cell>
        </row>
        <row r="462">
          <cell r="E462" t="e">
            <v>#N/A</v>
          </cell>
        </row>
        <row r="463">
          <cell r="E463" t="e">
            <v>#N/A</v>
          </cell>
        </row>
        <row r="464">
          <cell r="E464" t="e">
            <v>#N/A</v>
          </cell>
        </row>
        <row r="465">
          <cell r="E465" t="e">
            <v>#N/A</v>
          </cell>
        </row>
        <row r="466">
          <cell r="E466" t="e">
            <v>#N/A</v>
          </cell>
        </row>
        <row r="467">
          <cell r="E467" t="e">
            <v>#N/A</v>
          </cell>
        </row>
        <row r="468">
          <cell r="E468" t="e">
            <v>#N/A</v>
          </cell>
        </row>
        <row r="469">
          <cell r="E469" t="e">
            <v>#N/A</v>
          </cell>
        </row>
        <row r="470">
          <cell r="E470" t="e">
            <v>#N/A</v>
          </cell>
        </row>
        <row r="471">
          <cell r="E471" t="e">
            <v>#N/A</v>
          </cell>
        </row>
        <row r="472">
          <cell r="E472" t="e">
            <v>#N/A</v>
          </cell>
        </row>
        <row r="473">
          <cell r="E473" t="e">
            <v>#N/A</v>
          </cell>
        </row>
        <row r="474">
          <cell r="E474" t="e">
            <v>#N/A</v>
          </cell>
        </row>
        <row r="475">
          <cell r="E475" t="e">
            <v>#N/A</v>
          </cell>
        </row>
        <row r="476">
          <cell r="E476" t="e">
            <v>#N/A</v>
          </cell>
        </row>
        <row r="477">
          <cell r="E477" t="e">
            <v>#N/A</v>
          </cell>
        </row>
        <row r="478">
          <cell r="E478" t="e">
            <v>#N/A</v>
          </cell>
        </row>
        <row r="479">
          <cell r="E479" t="e">
            <v>#N/A</v>
          </cell>
        </row>
        <row r="480">
          <cell r="E480" t="e">
            <v>#N/A</v>
          </cell>
        </row>
        <row r="481">
          <cell r="E481" t="e">
            <v>#N/A</v>
          </cell>
        </row>
        <row r="482">
          <cell r="E482" t="e">
            <v>#N/A</v>
          </cell>
        </row>
        <row r="483">
          <cell r="E483" t="e">
            <v>#N/A</v>
          </cell>
        </row>
        <row r="484">
          <cell r="E484" t="e">
            <v>#N/A</v>
          </cell>
        </row>
        <row r="485">
          <cell r="E485" t="e">
            <v>#N/A</v>
          </cell>
        </row>
        <row r="486">
          <cell r="E486" t="e">
            <v>#N/A</v>
          </cell>
        </row>
        <row r="487">
          <cell r="E487" t="e">
            <v>#N/A</v>
          </cell>
        </row>
        <row r="488">
          <cell r="E488" t="e">
            <v>#N/A</v>
          </cell>
        </row>
        <row r="489">
          <cell r="E489" t="e">
            <v>#N/A</v>
          </cell>
        </row>
        <row r="490">
          <cell r="E490" t="e">
            <v>#N/A</v>
          </cell>
        </row>
        <row r="491">
          <cell r="E491" t="e">
            <v>#N/A</v>
          </cell>
        </row>
        <row r="492">
          <cell r="E492" t="e">
            <v>#N/A</v>
          </cell>
        </row>
        <row r="493">
          <cell r="E493" t="e">
            <v>#N/A</v>
          </cell>
        </row>
        <row r="494">
          <cell r="E494" t="e">
            <v>#N/A</v>
          </cell>
        </row>
        <row r="495">
          <cell r="E495" t="e">
            <v>#N/A</v>
          </cell>
        </row>
        <row r="496">
          <cell r="E496" t="e">
            <v>#N/A</v>
          </cell>
        </row>
        <row r="497">
          <cell r="E497" t="e">
            <v>#N/A</v>
          </cell>
        </row>
        <row r="498">
          <cell r="E498" t="e">
            <v>#N/A</v>
          </cell>
        </row>
        <row r="499">
          <cell r="E499" t="e">
            <v>#N/A</v>
          </cell>
        </row>
        <row r="500">
          <cell r="E500" t="e">
            <v>#N/A</v>
          </cell>
        </row>
        <row r="501">
          <cell r="E501" t="e">
            <v>#N/A</v>
          </cell>
        </row>
        <row r="502">
          <cell r="E502" t="e">
            <v>#N/A</v>
          </cell>
        </row>
        <row r="503">
          <cell r="E503" t="e">
            <v>#N/A</v>
          </cell>
        </row>
        <row r="504">
          <cell r="E504" t="e">
            <v>#N/A</v>
          </cell>
        </row>
        <row r="505">
          <cell r="E505" t="e">
            <v>#N/A</v>
          </cell>
        </row>
        <row r="506">
          <cell r="E506" t="e">
            <v>#N/A</v>
          </cell>
        </row>
        <row r="507">
          <cell r="E507" t="e">
            <v>#N/A</v>
          </cell>
        </row>
        <row r="508">
          <cell r="E508" t="e">
            <v>#N/A</v>
          </cell>
        </row>
        <row r="509">
          <cell r="E509" t="e">
            <v>#N/A</v>
          </cell>
        </row>
        <row r="510">
          <cell r="E510" t="e">
            <v>#N/A</v>
          </cell>
        </row>
        <row r="511">
          <cell r="E511" t="e">
            <v>#N/A</v>
          </cell>
        </row>
        <row r="512">
          <cell r="E512" t="e">
            <v>#N/A</v>
          </cell>
        </row>
        <row r="513">
          <cell r="E513" t="e">
            <v>#N/A</v>
          </cell>
        </row>
        <row r="514">
          <cell r="E514" t="e">
            <v>#N/A</v>
          </cell>
        </row>
        <row r="515">
          <cell r="E515" t="e">
            <v>#N/A</v>
          </cell>
        </row>
        <row r="516">
          <cell r="E516" t="e">
            <v>#N/A</v>
          </cell>
        </row>
        <row r="517">
          <cell r="E517" t="e">
            <v>#N/A</v>
          </cell>
        </row>
        <row r="518">
          <cell r="E518" t="e">
            <v>#N/A</v>
          </cell>
        </row>
        <row r="519">
          <cell r="E519" t="e">
            <v>#N/A</v>
          </cell>
        </row>
        <row r="520">
          <cell r="E520" t="e">
            <v>#N/A</v>
          </cell>
        </row>
        <row r="521">
          <cell r="E521" t="e">
            <v>#N/A</v>
          </cell>
        </row>
        <row r="522">
          <cell r="E522" t="e">
            <v>#N/A</v>
          </cell>
        </row>
        <row r="523">
          <cell r="E523" t="e">
            <v>#N/A</v>
          </cell>
        </row>
        <row r="524">
          <cell r="E524" t="e">
            <v>#N/A</v>
          </cell>
        </row>
        <row r="525">
          <cell r="E525" t="e">
            <v>#N/A</v>
          </cell>
        </row>
        <row r="526">
          <cell r="E526" t="e">
            <v>#N/A</v>
          </cell>
        </row>
        <row r="527">
          <cell r="E527" t="e">
            <v>#N/A</v>
          </cell>
        </row>
        <row r="528">
          <cell r="E528" t="e">
            <v>#N/A</v>
          </cell>
        </row>
        <row r="529">
          <cell r="E529" t="e">
            <v>#N/A</v>
          </cell>
        </row>
        <row r="530">
          <cell r="E530" t="e">
            <v>#N/A</v>
          </cell>
        </row>
        <row r="531">
          <cell r="E531" t="e">
            <v>#N/A</v>
          </cell>
        </row>
        <row r="532">
          <cell r="E532" t="e">
            <v>#N/A</v>
          </cell>
        </row>
        <row r="533">
          <cell r="E533" t="e">
            <v>#N/A</v>
          </cell>
        </row>
        <row r="534">
          <cell r="E534" t="e">
            <v>#N/A</v>
          </cell>
        </row>
        <row r="535">
          <cell r="E535" t="e">
            <v>#N/A</v>
          </cell>
        </row>
        <row r="536">
          <cell r="E536" t="e">
            <v>#N/A</v>
          </cell>
        </row>
        <row r="537">
          <cell r="E537" t="e">
            <v>#N/A</v>
          </cell>
        </row>
        <row r="538">
          <cell r="E538" t="e">
            <v>#N/A</v>
          </cell>
        </row>
        <row r="539">
          <cell r="E539" t="e">
            <v>#N/A</v>
          </cell>
        </row>
        <row r="540">
          <cell r="E540" t="e">
            <v>#N/A</v>
          </cell>
        </row>
        <row r="541">
          <cell r="E541" t="e">
            <v>#N/A</v>
          </cell>
        </row>
        <row r="542">
          <cell r="E542" t="e">
            <v>#N/A</v>
          </cell>
        </row>
        <row r="543">
          <cell r="E543" t="e">
            <v>#N/A</v>
          </cell>
        </row>
        <row r="544">
          <cell r="E544" t="e">
            <v>#N/A</v>
          </cell>
        </row>
        <row r="545">
          <cell r="E545" t="e">
            <v>#N/A</v>
          </cell>
        </row>
        <row r="546">
          <cell r="E546" t="e">
            <v>#N/A</v>
          </cell>
        </row>
        <row r="547">
          <cell r="E547" t="e">
            <v>#N/A</v>
          </cell>
        </row>
        <row r="548">
          <cell r="E548" t="e">
            <v>#N/A</v>
          </cell>
        </row>
        <row r="549">
          <cell r="E549" t="e">
            <v>#N/A</v>
          </cell>
        </row>
        <row r="550">
          <cell r="E550" t="e">
            <v>#N/A</v>
          </cell>
        </row>
        <row r="551">
          <cell r="E551" t="e">
            <v>#N/A</v>
          </cell>
        </row>
        <row r="552">
          <cell r="E552" t="e">
            <v>#N/A</v>
          </cell>
        </row>
        <row r="553">
          <cell r="E553" t="e">
            <v>#N/A</v>
          </cell>
        </row>
        <row r="554">
          <cell r="E554" t="e">
            <v>#N/A</v>
          </cell>
        </row>
        <row r="555">
          <cell r="E555" t="e">
            <v>#N/A</v>
          </cell>
        </row>
        <row r="556">
          <cell r="E556" t="e">
            <v>#N/A</v>
          </cell>
        </row>
        <row r="557">
          <cell r="E557" t="e">
            <v>#N/A</v>
          </cell>
        </row>
        <row r="558">
          <cell r="E558" t="e">
            <v>#N/A</v>
          </cell>
        </row>
        <row r="559">
          <cell r="E559" t="e">
            <v>#N/A</v>
          </cell>
        </row>
        <row r="560">
          <cell r="E560" t="e">
            <v>#N/A</v>
          </cell>
        </row>
        <row r="561">
          <cell r="E561" t="e">
            <v>#N/A</v>
          </cell>
        </row>
        <row r="562">
          <cell r="E562" t="e">
            <v>#N/A</v>
          </cell>
        </row>
        <row r="563">
          <cell r="E563" t="e">
            <v>#N/A</v>
          </cell>
        </row>
        <row r="564">
          <cell r="E564" t="e">
            <v>#N/A</v>
          </cell>
        </row>
        <row r="565">
          <cell r="E565" t="e">
            <v>#N/A</v>
          </cell>
        </row>
        <row r="566">
          <cell r="E566" t="e">
            <v>#N/A</v>
          </cell>
        </row>
        <row r="567">
          <cell r="E567" t="e">
            <v>#N/A</v>
          </cell>
        </row>
        <row r="568">
          <cell r="E568" t="e">
            <v>#N/A</v>
          </cell>
        </row>
        <row r="569">
          <cell r="E569" t="e">
            <v>#N/A</v>
          </cell>
        </row>
        <row r="570">
          <cell r="E570" t="e">
            <v>#N/A</v>
          </cell>
        </row>
        <row r="571">
          <cell r="E571" t="e">
            <v>#N/A</v>
          </cell>
        </row>
        <row r="572">
          <cell r="E572" t="e">
            <v>#N/A</v>
          </cell>
        </row>
        <row r="573">
          <cell r="E573" t="e">
            <v>#N/A</v>
          </cell>
        </row>
        <row r="574">
          <cell r="E574" t="e">
            <v>#N/A</v>
          </cell>
        </row>
        <row r="575">
          <cell r="E575" t="e">
            <v>#N/A</v>
          </cell>
        </row>
        <row r="576">
          <cell r="E576" t="e">
            <v>#N/A</v>
          </cell>
        </row>
        <row r="577">
          <cell r="E577" t="e">
            <v>#N/A</v>
          </cell>
        </row>
        <row r="578">
          <cell r="E578" t="e">
            <v>#N/A</v>
          </cell>
        </row>
        <row r="579">
          <cell r="E579" t="e">
            <v>#N/A</v>
          </cell>
        </row>
        <row r="580">
          <cell r="E580" t="e">
            <v>#N/A</v>
          </cell>
        </row>
        <row r="581">
          <cell r="E581" t="e">
            <v>#N/A</v>
          </cell>
        </row>
        <row r="582">
          <cell r="E582" t="e">
            <v>#N/A</v>
          </cell>
        </row>
        <row r="583">
          <cell r="E583" t="e">
            <v>#N/A</v>
          </cell>
        </row>
        <row r="584">
          <cell r="E584" t="e">
            <v>#N/A</v>
          </cell>
        </row>
        <row r="585">
          <cell r="E585" t="e">
            <v>#N/A</v>
          </cell>
        </row>
        <row r="586">
          <cell r="E586" t="e">
            <v>#N/A</v>
          </cell>
        </row>
        <row r="587">
          <cell r="E587" t="e">
            <v>#N/A</v>
          </cell>
        </row>
        <row r="588">
          <cell r="E588" t="e">
            <v>#N/A</v>
          </cell>
        </row>
        <row r="589">
          <cell r="E589" t="e">
            <v>#N/A</v>
          </cell>
        </row>
        <row r="590">
          <cell r="E590" t="e">
            <v>#N/A</v>
          </cell>
        </row>
        <row r="591">
          <cell r="E591" t="e">
            <v>#N/A</v>
          </cell>
        </row>
        <row r="592">
          <cell r="E592" t="e">
            <v>#N/A</v>
          </cell>
        </row>
        <row r="593">
          <cell r="E593" t="e">
            <v>#N/A</v>
          </cell>
        </row>
        <row r="594">
          <cell r="E594" t="e">
            <v>#N/A</v>
          </cell>
        </row>
        <row r="595">
          <cell r="E595" t="e">
            <v>#N/A</v>
          </cell>
        </row>
        <row r="596">
          <cell r="E596" t="e">
            <v>#N/A</v>
          </cell>
        </row>
        <row r="597">
          <cell r="E597" t="e">
            <v>#N/A</v>
          </cell>
        </row>
        <row r="598">
          <cell r="E598" t="e">
            <v>#N/A</v>
          </cell>
        </row>
        <row r="599">
          <cell r="E599" t="e">
            <v>#N/A</v>
          </cell>
        </row>
        <row r="600">
          <cell r="E600" t="e">
            <v>#N/A</v>
          </cell>
        </row>
        <row r="601">
          <cell r="E601" t="e">
            <v>#N/A</v>
          </cell>
        </row>
        <row r="602">
          <cell r="E602" t="e">
            <v>#N/A</v>
          </cell>
        </row>
        <row r="603">
          <cell r="E603" t="e">
            <v>#N/A</v>
          </cell>
        </row>
        <row r="604">
          <cell r="E604" t="e">
            <v>#N/A</v>
          </cell>
        </row>
        <row r="605">
          <cell r="E605" t="e">
            <v>#N/A</v>
          </cell>
        </row>
        <row r="606">
          <cell r="E606" t="e">
            <v>#N/A</v>
          </cell>
        </row>
        <row r="607">
          <cell r="E607" t="e">
            <v>#N/A</v>
          </cell>
        </row>
        <row r="608">
          <cell r="E608" t="e">
            <v>#N/A</v>
          </cell>
        </row>
        <row r="609">
          <cell r="E609" t="e">
            <v>#N/A</v>
          </cell>
        </row>
        <row r="610">
          <cell r="E610" t="e">
            <v>#N/A</v>
          </cell>
        </row>
        <row r="611">
          <cell r="E611" t="e">
            <v>#N/A</v>
          </cell>
        </row>
        <row r="612">
          <cell r="E612" t="e">
            <v>#N/A</v>
          </cell>
        </row>
        <row r="613">
          <cell r="E613" t="e">
            <v>#N/A</v>
          </cell>
        </row>
        <row r="614">
          <cell r="E614" t="e">
            <v>#N/A</v>
          </cell>
        </row>
        <row r="615">
          <cell r="E615" t="e">
            <v>#N/A</v>
          </cell>
        </row>
        <row r="616">
          <cell r="E616" t="e">
            <v>#N/A</v>
          </cell>
        </row>
        <row r="617">
          <cell r="E617" t="e">
            <v>#N/A</v>
          </cell>
        </row>
        <row r="618">
          <cell r="E618" t="e">
            <v>#N/A</v>
          </cell>
        </row>
        <row r="619">
          <cell r="E619" t="e">
            <v>#N/A</v>
          </cell>
        </row>
        <row r="620">
          <cell r="E620" t="e">
            <v>#N/A</v>
          </cell>
        </row>
        <row r="621">
          <cell r="E621" t="e">
            <v>#N/A</v>
          </cell>
        </row>
        <row r="622">
          <cell r="E622" t="e">
            <v>#N/A</v>
          </cell>
        </row>
        <row r="623">
          <cell r="E623" t="e">
            <v>#N/A</v>
          </cell>
        </row>
        <row r="624">
          <cell r="E624" t="e">
            <v>#N/A</v>
          </cell>
        </row>
        <row r="625">
          <cell r="E625" t="e">
            <v>#N/A</v>
          </cell>
        </row>
        <row r="626">
          <cell r="E626" t="e">
            <v>#N/A</v>
          </cell>
        </row>
        <row r="627">
          <cell r="E627" t="e">
            <v>#N/A</v>
          </cell>
        </row>
        <row r="628">
          <cell r="E628" t="e">
            <v>#N/A</v>
          </cell>
        </row>
        <row r="629">
          <cell r="E629" t="e">
            <v>#N/A</v>
          </cell>
        </row>
        <row r="630">
          <cell r="E630" t="e">
            <v>#N/A</v>
          </cell>
        </row>
        <row r="631">
          <cell r="E631" t="e">
            <v>#N/A</v>
          </cell>
        </row>
        <row r="632">
          <cell r="E632" t="e">
            <v>#N/A</v>
          </cell>
        </row>
        <row r="633">
          <cell r="E633" t="e">
            <v>#N/A</v>
          </cell>
        </row>
        <row r="634">
          <cell r="E634" t="e">
            <v>#N/A</v>
          </cell>
        </row>
        <row r="635">
          <cell r="E635" t="e">
            <v>#N/A</v>
          </cell>
        </row>
        <row r="636">
          <cell r="E636" t="e">
            <v>#N/A</v>
          </cell>
        </row>
        <row r="637">
          <cell r="E637" t="e">
            <v>#N/A</v>
          </cell>
        </row>
        <row r="638">
          <cell r="E638" t="e">
            <v>#N/A</v>
          </cell>
        </row>
        <row r="639">
          <cell r="E639" t="e">
            <v>#N/A</v>
          </cell>
        </row>
        <row r="640">
          <cell r="E640" t="e">
            <v>#N/A</v>
          </cell>
        </row>
        <row r="641">
          <cell r="E641" t="e">
            <v>#N/A</v>
          </cell>
        </row>
        <row r="642">
          <cell r="E642" t="e">
            <v>#N/A</v>
          </cell>
        </row>
        <row r="643">
          <cell r="E643" t="e">
            <v>#N/A</v>
          </cell>
        </row>
        <row r="644">
          <cell r="E644" t="e">
            <v>#N/A</v>
          </cell>
        </row>
        <row r="645">
          <cell r="E645" t="e">
            <v>#N/A</v>
          </cell>
        </row>
        <row r="646">
          <cell r="E646" t="e">
            <v>#N/A</v>
          </cell>
        </row>
        <row r="647">
          <cell r="E647" t="e">
            <v>#N/A</v>
          </cell>
        </row>
        <row r="648">
          <cell r="E648" t="e">
            <v>#N/A</v>
          </cell>
        </row>
        <row r="649">
          <cell r="E649" t="e">
            <v>#N/A</v>
          </cell>
        </row>
        <row r="650">
          <cell r="E650" t="e">
            <v>#N/A</v>
          </cell>
        </row>
        <row r="651">
          <cell r="E651" t="e">
            <v>#N/A</v>
          </cell>
        </row>
        <row r="652">
          <cell r="E652" t="e">
            <v>#N/A</v>
          </cell>
        </row>
        <row r="653">
          <cell r="E653" t="e">
            <v>#N/A</v>
          </cell>
        </row>
        <row r="654">
          <cell r="E654" t="e">
            <v>#N/A</v>
          </cell>
        </row>
        <row r="655">
          <cell r="E655" t="e">
            <v>#N/A</v>
          </cell>
        </row>
        <row r="656">
          <cell r="E656" t="e">
            <v>#N/A</v>
          </cell>
        </row>
        <row r="657">
          <cell r="E657" t="e">
            <v>#N/A</v>
          </cell>
        </row>
        <row r="658">
          <cell r="E658" t="e">
            <v>#N/A</v>
          </cell>
        </row>
        <row r="659">
          <cell r="E659" t="e">
            <v>#N/A</v>
          </cell>
        </row>
        <row r="660">
          <cell r="E660" t="e">
            <v>#N/A</v>
          </cell>
        </row>
        <row r="661">
          <cell r="E661" t="e">
            <v>#N/A</v>
          </cell>
        </row>
        <row r="662">
          <cell r="E662" t="e">
            <v>#N/A</v>
          </cell>
        </row>
        <row r="663">
          <cell r="E663" t="e">
            <v>#N/A</v>
          </cell>
        </row>
        <row r="664">
          <cell r="E664" t="e">
            <v>#N/A</v>
          </cell>
        </row>
        <row r="665">
          <cell r="E665" t="e">
            <v>#N/A</v>
          </cell>
        </row>
        <row r="666">
          <cell r="E666" t="e">
            <v>#N/A</v>
          </cell>
        </row>
        <row r="667">
          <cell r="E667" t="e">
            <v>#N/A</v>
          </cell>
        </row>
        <row r="668">
          <cell r="E668" t="e">
            <v>#N/A</v>
          </cell>
        </row>
        <row r="669">
          <cell r="E669" t="e">
            <v>#N/A</v>
          </cell>
        </row>
        <row r="670">
          <cell r="E670" t="e">
            <v>#N/A</v>
          </cell>
        </row>
        <row r="671">
          <cell r="E671" t="e">
            <v>#N/A</v>
          </cell>
        </row>
        <row r="672">
          <cell r="E672" t="e">
            <v>#N/A</v>
          </cell>
        </row>
        <row r="673">
          <cell r="E673" t="e">
            <v>#N/A</v>
          </cell>
        </row>
        <row r="674">
          <cell r="E674" t="e">
            <v>#N/A</v>
          </cell>
        </row>
        <row r="675">
          <cell r="E675" t="e">
            <v>#N/A</v>
          </cell>
        </row>
        <row r="676">
          <cell r="E676" t="e">
            <v>#N/A</v>
          </cell>
        </row>
        <row r="677">
          <cell r="E677" t="e">
            <v>#N/A</v>
          </cell>
        </row>
        <row r="678">
          <cell r="E678" t="e">
            <v>#N/A</v>
          </cell>
        </row>
        <row r="679">
          <cell r="E679" t="e">
            <v>#N/A</v>
          </cell>
        </row>
        <row r="680">
          <cell r="E680" t="e">
            <v>#N/A</v>
          </cell>
        </row>
        <row r="681">
          <cell r="E681" t="e">
            <v>#N/A</v>
          </cell>
        </row>
        <row r="682">
          <cell r="E682" t="e">
            <v>#N/A</v>
          </cell>
        </row>
        <row r="683">
          <cell r="E683" t="e">
            <v>#N/A</v>
          </cell>
        </row>
        <row r="684">
          <cell r="E684" t="e">
            <v>#N/A</v>
          </cell>
        </row>
        <row r="685">
          <cell r="E685" t="e">
            <v>#N/A</v>
          </cell>
        </row>
        <row r="686">
          <cell r="E686" t="e">
            <v>#N/A</v>
          </cell>
        </row>
        <row r="687">
          <cell r="E687" t="e">
            <v>#N/A</v>
          </cell>
        </row>
        <row r="688">
          <cell r="E688" t="e">
            <v>#N/A</v>
          </cell>
        </row>
        <row r="689">
          <cell r="E689" t="e">
            <v>#N/A</v>
          </cell>
        </row>
        <row r="690">
          <cell r="E690" t="e">
            <v>#N/A</v>
          </cell>
        </row>
        <row r="691">
          <cell r="E691" t="e">
            <v>#N/A</v>
          </cell>
        </row>
        <row r="692">
          <cell r="E692" t="e">
            <v>#N/A</v>
          </cell>
        </row>
        <row r="693">
          <cell r="E693" t="e">
            <v>#N/A</v>
          </cell>
        </row>
        <row r="694">
          <cell r="E694" t="e">
            <v>#N/A</v>
          </cell>
        </row>
        <row r="695">
          <cell r="E695" t="e">
            <v>#N/A</v>
          </cell>
        </row>
        <row r="696">
          <cell r="E696" t="e">
            <v>#N/A</v>
          </cell>
        </row>
        <row r="697">
          <cell r="E697" t="e">
            <v>#N/A</v>
          </cell>
        </row>
        <row r="698">
          <cell r="E698" t="e">
            <v>#N/A</v>
          </cell>
        </row>
        <row r="699">
          <cell r="E699" t="e">
            <v>#N/A</v>
          </cell>
        </row>
        <row r="700">
          <cell r="E700" t="e">
            <v>#N/A</v>
          </cell>
        </row>
        <row r="701">
          <cell r="E701" t="e">
            <v>#N/A</v>
          </cell>
        </row>
        <row r="702">
          <cell r="E702" t="e">
            <v>#N/A</v>
          </cell>
        </row>
        <row r="703">
          <cell r="E703" t="e">
            <v>#N/A</v>
          </cell>
        </row>
        <row r="704">
          <cell r="E704" t="e">
            <v>#N/A</v>
          </cell>
        </row>
        <row r="705">
          <cell r="E705" t="e">
            <v>#N/A</v>
          </cell>
        </row>
        <row r="706">
          <cell r="E706" t="e">
            <v>#N/A</v>
          </cell>
        </row>
        <row r="707">
          <cell r="E707" t="e">
            <v>#N/A</v>
          </cell>
        </row>
        <row r="708">
          <cell r="E708" t="e">
            <v>#N/A</v>
          </cell>
        </row>
        <row r="709">
          <cell r="E709" t="e">
            <v>#N/A</v>
          </cell>
        </row>
        <row r="710">
          <cell r="E710" t="e">
            <v>#N/A</v>
          </cell>
        </row>
        <row r="711">
          <cell r="E711" t="e">
            <v>#N/A</v>
          </cell>
        </row>
        <row r="712">
          <cell r="E712" t="e">
            <v>#N/A</v>
          </cell>
        </row>
        <row r="713">
          <cell r="E713" t="e">
            <v>#N/A</v>
          </cell>
        </row>
        <row r="714">
          <cell r="E714" t="e">
            <v>#N/A</v>
          </cell>
        </row>
        <row r="715">
          <cell r="E715" t="e">
            <v>#N/A</v>
          </cell>
        </row>
        <row r="716">
          <cell r="E716" t="e">
            <v>#N/A</v>
          </cell>
        </row>
        <row r="717">
          <cell r="E717" t="e">
            <v>#N/A</v>
          </cell>
        </row>
        <row r="718">
          <cell r="E718" t="e">
            <v>#N/A</v>
          </cell>
        </row>
        <row r="719">
          <cell r="E719" t="e">
            <v>#N/A</v>
          </cell>
        </row>
        <row r="720">
          <cell r="E720" t="e">
            <v>#N/A</v>
          </cell>
        </row>
        <row r="721">
          <cell r="E721" t="e">
            <v>#N/A</v>
          </cell>
        </row>
        <row r="722">
          <cell r="E722" t="e">
            <v>#N/A</v>
          </cell>
        </row>
        <row r="723">
          <cell r="E723" t="e">
            <v>#N/A</v>
          </cell>
        </row>
        <row r="724">
          <cell r="E724" t="e">
            <v>#N/A</v>
          </cell>
        </row>
        <row r="725">
          <cell r="E725" t="e">
            <v>#N/A</v>
          </cell>
        </row>
        <row r="726">
          <cell r="E726" t="e">
            <v>#N/A</v>
          </cell>
        </row>
        <row r="727">
          <cell r="E727" t="e">
            <v>#N/A</v>
          </cell>
        </row>
        <row r="728">
          <cell r="E728" t="e">
            <v>#N/A</v>
          </cell>
        </row>
        <row r="729">
          <cell r="E729" t="e">
            <v>#N/A</v>
          </cell>
        </row>
        <row r="730">
          <cell r="E730" t="e">
            <v>#N/A</v>
          </cell>
        </row>
        <row r="731">
          <cell r="E731" t="e">
            <v>#N/A</v>
          </cell>
        </row>
        <row r="732">
          <cell r="E732" t="e">
            <v>#N/A</v>
          </cell>
        </row>
        <row r="733">
          <cell r="E733" t="e">
            <v>#N/A</v>
          </cell>
        </row>
        <row r="734">
          <cell r="E734" t="e">
            <v>#N/A</v>
          </cell>
        </row>
        <row r="735">
          <cell r="E735" t="e">
            <v>#N/A</v>
          </cell>
        </row>
        <row r="736">
          <cell r="E736" t="e">
            <v>#N/A</v>
          </cell>
        </row>
        <row r="737">
          <cell r="E737" t="e">
            <v>#N/A</v>
          </cell>
        </row>
        <row r="738">
          <cell r="E738" t="e">
            <v>#N/A</v>
          </cell>
        </row>
        <row r="739">
          <cell r="E739" t="e">
            <v>#N/A</v>
          </cell>
        </row>
        <row r="740">
          <cell r="E740" t="e">
            <v>#N/A</v>
          </cell>
        </row>
        <row r="741">
          <cell r="E741" t="e">
            <v>#N/A</v>
          </cell>
        </row>
        <row r="742">
          <cell r="E742" t="e">
            <v>#N/A</v>
          </cell>
        </row>
        <row r="743">
          <cell r="E743" t="e">
            <v>#N/A</v>
          </cell>
        </row>
        <row r="744">
          <cell r="E744" t="e">
            <v>#N/A</v>
          </cell>
        </row>
        <row r="745">
          <cell r="E745" t="e">
            <v>#N/A</v>
          </cell>
        </row>
        <row r="746">
          <cell r="E746" t="e">
            <v>#N/A</v>
          </cell>
        </row>
        <row r="747">
          <cell r="E747" t="e">
            <v>#N/A</v>
          </cell>
        </row>
        <row r="748">
          <cell r="E748" t="e">
            <v>#N/A</v>
          </cell>
        </row>
        <row r="749">
          <cell r="E749" t="e">
            <v>#N/A</v>
          </cell>
        </row>
        <row r="750">
          <cell r="E750" t="e">
            <v>#N/A</v>
          </cell>
        </row>
        <row r="751">
          <cell r="E751" t="e">
            <v>#N/A</v>
          </cell>
        </row>
        <row r="752">
          <cell r="E752" t="e">
            <v>#N/A</v>
          </cell>
        </row>
        <row r="753">
          <cell r="E753" t="e">
            <v>#N/A</v>
          </cell>
        </row>
        <row r="754">
          <cell r="E754" t="e">
            <v>#N/A</v>
          </cell>
        </row>
        <row r="755">
          <cell r="E755" t="e">
            <v>#N/A</v>
          </cell>
        </row>
        <row r="756">
          <cell r="E756" t="e">
            <v>#N/A</v>
          </cell>
        </row>
        <row r="757">
          <cell r="E757" t="e">
            <v>#N/A</v>
          </cell>
        </row>
        <row r="758">
          <cell r="E758" t="e">
            <v>#N/A</v>
          </cell>
        </row>
        <row r="759">
          <cell r="E759" t="e">
            <v>#N/A</v>
          </cell>
        </row>
        <row r="760">
          <cell r="E760" t="e">
            <v>#N/A</v>
          </cell>
        </row>
        <row r="761">
          <cell r="E761" t="e">
            <v>#N/A</v>
          </cell>
        </row>
        <row r="762">
          <cell r="E762" t="e">
            <v>#N/A</v>
          </cell>
        </row>
        <row r="763">
          <cell r="E763" t="e">
            <v>#N/A</v>
          </cell>
        </row>
        <row r="764">
          <cell r="E764" t="e">
            <v>#N/A</v>
          </cell>
        </row>
        <row r="765">
          <cell r="E765" t="e">
            <v>#N/A</v>
          </cell>
        </row>
        <row r="766">
          <cell r="E766" t="e">
            <v>#N/A</v>
          </cell>
        </row>
        <row r="769">
          <cell r="E769">
            <v>530874.43142599997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LAN ADT 01"/>
      <sheetName val="CRON FÍSICO-FINANC"/>
      <sheetName val="MEMORIAL CÁLCULO"/>
      <sheetName val="VIGAS COBERTURA"/>
      <sheetName val="COMPOSICOES"/>
    </sheetNames>
    <sheetDataSet>
      <sheetData sheetId="0">
        <row r="12">
          <cell r="U12">
            <v>2</v>
          </cell>
          <cell r="V12">
            <v>3</v>
          </cell>
          <cell r="W12">
            <v>4</v>
          </cell>
          <cell r="X12">
            <v>6</v>
          </cell>
          <cell r="Y12">
            <v>7</v>
          </cell>
          <cell r="Z12">
            <v>8</v>
          </cell>
        </row>
        <row r="14">
          <cell r="U14">
            <v>0</v>
          </cell>
          <cell r="W14">
            <v>0</v>
          </cell>
          <cell r="Y14">
            <v>0</v>
          </cell>
          <cell r="Z14">
            <v>0</v>
          </cell>
          <cell r="AB14">
            <v>0</v>
          </cell>
        </row>
        <row r="15">
          <cell r="AB15">
            <v>0</v>
          </cell>
        </row>
        <row r="16">
          <cell r="H16">
            <v>0</v>
          </cell>
          <cell r="I16">
            <v>260.36</v>
          </cell>
          <cell r="X16">
            <v>0</v>
          </cell>
          <cell r="Y16">
            <v>0</v>
          </cell>
          <cell r="Z16">
            <v>0</v>
          </cell>
          <cell r="AB16">
            <v>0</v>
          </cell>
        </row>
        <row r="17">
          <cell r="H17">
            <v>0</v>
          </cell>
          <cell r="I17">
            <v>316.14</v>
          </cell>
          <cell r="X17">
            <v>0</v>
          </cell>
          <cell r="Y17">
            <v>0</v>
          </cell>
          <cell r="Z17">
            <v>0</v>
          </cell>
          <cell r="AB17">
            <v>0</v>
          </cell>
        </row>
        <row r="18">
          <cell r="H18">
            <v>0</v>
          </cell>
          <cell r="I18">
            <v>11.72</v>
          </cell>
          <cell r="X18">
            <v>0</v>
          </cell>
          <cell r="Y18">
            <v>0</v>
          </cell>
          <cell r="Z18">
            <v>0</v>
          </cell>
          <cell r="AB18">
            <v>0</v>
          </cell>
        </row>
        <row r="19">
          <cell r="AB19">
            <v>0</v>
          </cell>
        </row>
        <row r="20">
          <cell r="U20">
            <v>14654.2</v>
          </cell>
          <cell r="W20">
            <v>0</v>
          </cell>
          <cell r="Y20">
            <v>6690.43</v>
          </cell>
          <cell r="Z20">
            <v>0.3134479257780528</v>
          </cell>
          <cell r="AB20">
            <v>14654.2</v>
          </cell>
        </row>
        <row r="21">
          <cell r="AB21">
            <v>0</v>
          </cell>
        </row>
        <row r="22">
          <cell r="AB22">
            <v>0</v>
          </cell>
        </row>
        <row r="23">
          <cell r="H23">
            <v>30.36</v>
          </cell>
          <cell r="I23">
            <v>390.85</v>
          </cell>
          <cell r="P23">
            <v>0</v>
          </cell>
          <cell r="R23">
            <v>0</v>
          </cell>
          <cell r="T23">
            <v>30.36</v>
          </cell>
          <cell r="U23">
            <v>11866.2</v>
          </cell>
          <cell r="X23">
            <v>0</v>
          </cell>
          <cell r="Y23">
            <v>0</v>
          </cell>
          <cell r="Z23">
            <v>0</v>
          </cell>
          <cell r="AB23">
            <v>11866.2</v>
          </cell>
        </row>
        <row r="24">
          <cell r="H24">
            <v>9.26</v>
          </cell>
          <cell r="I24">
            <v>7.31</v>
          </cell>
          <cell r="P24">
            <v>0</v>
          </cell>
          <cell r="R24">
            <v>0</v>
          </cell>
          <cell r="T24">
            <v>9.26</v>
          </cell>
          <cell r="U24">
            <v>67.69</v>
          </cell>
          <cell r="X24">
            <v>0</v>
          </cell>
          <cell r="Y24">
            <v>0</v>
          </cell>
          <cell r="Z24">
            <v>0</v>
          </cell>
          <cell r="AB24">
            <v>67.69</v>
          </cell>
        </row>
        <row r="25">
          <cell r="H25">
            <v>112.97</v>
          </cell>
          <cell r="I25">
            <v>24.08</v>
          </cell>
          <cell r="P25">
            <v>0</v>
          </cell>
          <cell r="R25">
            <v>0</v>
          </cell>
          <cell r="T25">
            <v>112.97</v>
          </cell>
          <cell r="U25">
            <v>2720.31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B25">
            <v>2720.31</v>
          </cell>
        </row>
        <row r="26">
          <cell r="AB26">
            <v>0</v>
          </cell>
        </row>
        <row r="27">
          <cell r="H27">
            <v>6.16</v>
          </cell>
          <cell r="I27">
            <v>390.85</v>
          </cell>
          <cell r="P27">
            <v>0</v>
          </cell>
          <cell r="R27">
            <v>1</v>
          </cell>
          <cell r="X27">
            <v>6.16</v>
          </cell>
          <cell r="Y27">
            <v>2407.63</v>
          </cell>
          <cell r="Z27">
            <v>1</v>
          </cell>
          <cell r="AB27">
            <v>0</v>
          </cell>
        </row>
        <row r="28">
          <cell r="H28">
            <v>296</v>
          </cell>
          <cell r="I28">
            <v>7.31</v>
          </cell>
          <cell r="P28">
            <v>0</v>
          </cell>
          <cell r="R28">
            <v>1</v>
          </cell>
          <cell r="X28">
            <v>296</v>
          </cell>
          <cell r="Y28">
            <v>2163.7600000000002</v>
          </cell>
          <cell r="Z28">
            <v>1</v>
          </cell>
          <cell r="AB28">
            <v>0</v>
          </cell>
        </row>
        <row r="29">
          <cell r="H29">
            <v>88</v>
          </cell>
          <cell r="I29">
            <v>24.08</v>
          </cell>
          <cell r="P29">
            <v>0</v>
          </cell>
          <cell r="R29">
            <v>1</v>
          </cell>
          <cell r="X29">
            <v>88</v>
          </cell>
          <cell r="Y29">
            <v>2119.04</v>
          </cell>
          <cell r="Z29">
            <v>1</v>
          </cell>
          <cell r="AB29">
            <v>0</v>
          </cell>
        </row>
        <row r="30">
          <cell r="AB30">
            <v>0</v>
          </cell>
        </row>
        <row r="31">
          <cell r="U31">
            <v>31077.74</v>
          </cell>
          <cell r="W31">
            <v>0</v>
          </cell>
          <cell r="Y31">
            <v>111423.34</v>
          </cell>
          <cell r="Z31">
            <v>0.78191213962558881</v>
          </cell>
          <cell r="AB31">
            <v>31077.74</v>
          </cell>
        </row>
        <row r="32">
          <cell r="AB32">
            <v>0</v>
          </cell>
        </row>
        <row r="33">
          <cell r="AB33">
            <v>0</v>
          </cell>
        </row>
        <row r="34">
          <cell r="H34">
            <v>116.04</v>
          </cell>
          <cell r="I34">
            <v>31.11</v>
          </cell>
          <cell r="P34">
            <v>0.78576352981730435</v>
          </cell>
          <cell r="R34">
            <v>0.92881764908652187</v>
          </cell>
          <cell r="X34">
            <v>116.04</v>
          </cell>
          <cell r="Y34">
            <v>3610</v>
          </cell>
          <cell r="Z34">
            <v>1</v>
          </cell>
          <cell r="AB34">
            <v>0</v>
          </cell>
        </row>
        <row r="35">
          <cell r="H35">
            <v>325.8</v>
          </cell>
          <cell r="I35">
            <v>7.31</v>
          </cell>
          <cell r="P35">
            <v>0.34039287906691224</v>
          </cell>
          <cell r="R35">
            <v>0.34039287906691224</v>
          </cell>
          <cell r="X35">
            <v>325.8</v>
          </cell>
          <cell r="Y35">
            <v>2381.59</v>
          </cell>
          <cell r="Z35">
            <v>1</v>
          </cell>
          <cell r="AB35">
            <v>0</v>
          </cell>
        </row>
        <row r="36">
          <cell r="H36">
            <v>10.95</v>
          </cell>
          <cell r="I36">
            <v>391.99</v>
          </cell>
          <cell r="P36">
            <v>0.14429223744292238</v>
          </cell>
          <cell r="R36">
            <v>0.33059360730593612</v>
          </cell>
          <cell r="X36">
            <v>10.95</v>
          </cell>
          <cell r="Y36">
            <v>4292.29</v>
          </cell>
          <cell r="Z36">
            <v>1</v>
          </cell>
          <cell r="AB36">
            <v>0</v>
          </cell>
        </row>
        <row r="37">
          <cell r="X37">
            <v>0</v>
          </cell>
          <cell r="AB37">
            <v>0</v>
          </cell>
        </row>
        <row r="38">
          <cell r="H38">
            <v>536.77</v>
          </cell>
          <cell r="I38">
            <v>31.11</v>
          </cell>
          <cell r="P38">
            <v>6.054734802615646E-2</v>
          </cell>
          <cell r="R38">
            <v>0.50619445945190689</v>
          </cell>
          <cell r="T38">
            <v>230.23039999999969</v>
          </cell>
          <cell r="U38">
            <v>7162.46</v>
          </cell>
          <cell r="X38">
            <v>306.53960000000029</v>
          </cell>
          <cell r="Y38">
            <v>9536.44</v>
          </cell>
          <cell r="Z38">
            <v>0.57108158556456678</v>
          </cell>
          <cell r="AB38">
            <v>7162.46</v>
          </cell>
        </row>
        <row r="39">
          <cell r="H39">
            <v>1930.09</v>
          </cell>
          <cell r="I39">
            <v>7.31</v>
          </cell>
          <cell r="P39">
            <v>6.526008217233395E-2</v>
          </cell>
          <cell r="R39">
            <v>0.49790311954364824</v>
          </cell>
          <cell r="T39">
            <v>707.82682599999998</v>
          </cell>
          <cell r="U39">
            <v>5174.21</v>
          </cell>
          <cell r="X39">
            <v>1222.2631739999999</v>
          </cell>
          <cell r="Y39">
            <v>8934.74</v>
          </cell>
          <cell r="Z39">
            <v>0.63326753585490059</v>
          </cell>
          <cell r="AB39">
            <v>5174.21</v>
          </cell>
        </row>
        <row r="40">
          <cell r="H40">
            <v>33.69</v>
          </cell>
          <cell r="I40">
            <v>391.99</v>
          </cell>
          <cell r="P40">
            <v>7.7174235678242803E-2</v>
          </cell>
          <cell r="R40">
            <v>0.55179578509943605</v>
          </cell>
          <cell r="T40">
            <v>13.528119999999994</v>
          </cell>
          <cell r="U40">
            <v>5302.88</v>
          </cell>
          <cell r="X40">
            <v>20.161880000000004</v>
          </cell>
          <cell r="Y40">
            <v>7903.25</v>
          </cell>
          <cell r="Z40">
            <v>0.59845268943082541</v>
          </cell>
          <cell r="AB40">
            <v>5302.88</v>
          </cell>
        </row>
        <row r="41">
          <cell r="I41" t="str">
            <v xml:space="preserve">                          -   </v>
          </cell>
          <cell r="AB41">
            <v>0</v>
          </cell>
        </row>
        <row r="42">
          <cell r="H42">
            <v>118.19</v>
          </cell>
          <cell r="I42">
            <v>88.76</v>
          </cell>
          <cell r="P42">
            <v>0</v>
          </cell>
          <cell r="R42">
            <v>0</v>
          </cell>
          <cell r="T42">
            <v>118.19</v>
          </cell>
          <cell r="U42">
            <v>10490.54</v>
          </cell>
          <cell r="X42">
            <v>0</v>
          </cell>
          <cell r="Y42">
            <v>0</v>
          </cell>
          <cell r="Z42">
            <v>0</v>
          </cell>
          <cell r="AB42">
            <v>10490.54</v>
          </cell>
        </row>
        <row r="43">
          <cell r="H43">
            <v>118.19</v>
          </cell>
          <cell r="I43">
            <v>24.94</v>
          </cell>
          <cell r="P43">
            <v>0</v>
          </cell>
          <cell r="R43">
            <v>0</v>
          </cell>
          <cell r="T43">
            <v>118.19</v>
          </cell>
          <cell r="U43">
            <v>2947.65</v>
          </cell>
          <cell r="X43">
            <v>0</v>
          </cell>
          <cell r="Y43">
            <v>0</v>
          </cell>
          <cell r="Z43">
            <v>0</v>
          </cell>
          <cell r="AB43">
            <v>2947.65</v>
          </cell>
        </row>
        <row r="44">
          <cell r="I44" t="str">
            <v xml:space="preserve">                          -   </v>
          </cell>
          <cell r="AB44">
            <v>0</v>
          </cell>
        </row>
        <row r="45">
          <cell r="H45">
            <v>370.9</v>
          </cell>
          <cell r="I45">
            <v>31.11</v>
          </cell>
          <cell r="P45">
            <v>0.6015368023726072</v>
          </cell>
          <cell r="R45">
            <v>1</v>
          </cell>
          <cell r="X45">
            <v>370.9</v>
          </cell>
          <cell r="Y45">
            <v>11538.69</v>
          </cell>
          <cell r="Z45">
            <v>1</v>
          </cell>
          <cell r="AB45">
            <v>0</v>
          </cell>
        </row>
        <row r="46">
          <cell r="H46">
            <v>6724.2</v>
          </cell>
          <cell r="I46">
            <v>7.31</v>
          </cell>
          <cell r="P46">
            <v>0.49541506796347523</v>
          </cell>
          <cell r="R46">
            <v>1.0000003961809585</v>
          </cell>
          <cell r="X46">
            <v>6724.2</v>
          </cell>
          <cell r="Y46">
            <v>49153.9</v>
          </cell>
          <cell r="Z46">
            <v>1</v>
          </cell>
          <cell r="AB46">
            <v>0</v>
          </cell>
        </row>
        <row r="47">
          <cell r="H47">
            <v>35.9</v>
          </cell>
          <cell r="I47">
            <v>391.99</v>
          </cell>
          <cell r="P47">
            <v>0.55264623955431758</v>
          </cell>
          <cell r="R47">
            <v>0.99986406685236773</v>
          </cell>
          <cell r="X47">
            <v>35.9</v>
          </cell>
          <cell r="Y47">
            <v>14072.44</v>
          </cell>
          <cell r="Z47">
            <v>1</v>
          </cell>
          <cell r="AB47">
            <v>0</v>
          </cell>
        </row>
        <row r="48">
          <cell r="AB48">
            <v>0</v>
          </cell>
        </row>
        <row r="49">
          <cell r="U49">
            <v>38704.879999999997</v>
          </cell>
          <cell r="W49">
            <v>126758.2</v>
          </cell>
          <cell r="Y49">
            <v>646489.15</v>
          </cell>
          <cell r="Z49">
            <v>1.1576783891464855</v>
          </cell>
          <cell r="AB49">
            <v>38704.879999999997</v>
          </cell>
        </row>
        <row r="50">
          <cell r="U50">
            <v>2675.1800000000003</v>
          </cell>
          <cell r="W50">
            <v>1546</v>
          </cell>
          <cell r="Y50">
            <v>40880.549999999996</v>
          </cell>
          <cell r="Z50">
            <v>0.97312052559227313</v>
          </cell>
          <cell r="AB50">
            <v>2675.1800000000003</v>
          </cell>
        </row>
        <row r="51">
          <cell r="AB51">
            <v>0</v>
          </cell>
        </row>
        <row r="52">
          <cell r="AB52">
            <v>0</v>
          </cell>
        </row>
        <row r="53">
          <cell r="H53">
            <v>67.150000000000006</v>
          </cell>
          <cell r="I53">
            <v>10.37</v>
          </cell>
          <cell r="P53">
            <v>0</v>
          </cell>
          <cell r="R53">
            <v>0.62829486224869691</v>
          </cell>
          <cell r="X53">
            <v>67.150000000000006</v>
          </cell>
          <cell r="Y53">
            <v>696.34</v>
          </cell>
          <cell r="Z53">
            <v>1</v>
          </cell>
          <cell r="AB53">
            <v>0</v>
          </cell>
        </row>
        <row r="54">
          <cell r="H54">
            <v>171.47</v>
          </cell>
          <cell r="I54">
            <v>37.54</v>
          </cell>
          <cell r="P54">
            <v>0</v>
          </cell>
          <cell r="R54">
            <v>1</v>
          </cell>
          <cell r="X54">
            <v>171.47</v>
          </cell>
          <cell r="Y54">
            <v>6436.98</v>
          </cell>
          <cell r="Z54">
            <v>1</v>
          </cell>
          <cell r="AB54">
            <v>0</v>
          </cell>
        </row>
        <row r="55">
          <cell r="H55">
            <v>150</v>
          </cell>
          <cell r="I55">
            <v>10.6</v>
          </cell>
          <cell r="P55">
            <v>0</v>
          </cell>
          <cell r="R55">
            <v>0.28126666666666666</v>
          </cell>
          <cell r="X55">
            <v>150</v>
          </cell>
          <cell r="Y55">
            <v>1590</v>
          </cell>
          <cell r="Z55">
            <v>1</v>
          </cell>
          <cell r="AB55">
            <v>0</v>
          </cell>
        </row>
        <row r="56">
          <cell r="H56">
            <v>27.15</v>
          </cell>
          <cell r="I56">
            <v>80.47</v>
          </cell>
          <cell r="P56">
            <v>0</v>
          </cell>
          <cell r="R56">
            <v>0.96869244935543286</v>
          </cell>
          <cell r="V56">
            <v>8.1679999999999993</v>
          </cell>
          <cell r="W56">
            <v>657.27</v>
          </cell>
          <cell r="X56">
            <v>35.317999999999998</v>
          </cell>
          <cell r="Y56">
            <v>2842.03</v>
          </cell>
          <cell r="Z56">
            <v>1.3008431132023655</v>
          </cell>
          <cell r="AB56">
            <v>0</v>
          </cell>
        </row>
        <row r="57">
          <cell r="H57">
            <v>45.99</v>
          </cell>
          <cell r="I57">
            <v>109.72</v>
          </cell>
          <cell r="P57">
            <v>0</v>
          </cell>
          <cell r="R57">
            <v>0</v>
          </cell>
          <cell r="V57">
            <v>8.0999999999999943</v>
          </cell>
          <cell r="W57">
            <v>888.73</v>
          </cell>
          <cell r="X57">
            <v>54.089999999999996</v>
          </cell>
          <cell r="Y57">
            <v>5934.75</v>
          </cell>
          <cell r="Z57">
            <v>1.1761249459970431</v>
          </cell>
          <cell r="AB57">
            <v>0</v>
          </cell>
        </row>
        <row r="58">
          <cell r="H58">
            <v>52.74</v>
          </cell>
          <cell r="I58">
            <v>377.1</v>
          </cell>
          <cell r="P58">
            <v>0</v>
          </cell>
          <cell r="R58">
            <v>0.22222222222222224</v>
          </cell>
          <cell r="T58">
            <v>5.3079999999999998</v>
          </cell>
          <cell r="U58">
            <v>2001.64</v>
          </cell>
          <cell r="X58">
            <v>47.432000000000002</v>
          </cell>
          <cell r="Y58">
            <v>17886.599999999999</v>
          </cell>
          <cell r="Z58">
            <v>0.89935514688320983</v>
          </cell>
          <cell r="AB58">
            <v>2001.64</v>
          </cell>
        </row>
        <row r="59">
          <cell r="H59">
            <v>228</v>
          </cell>
          <cell r="I59">
            <v>27.05</v>
          </cell>
          <cell r="P59">
            <v>0</v>
          </cell>
          <cell r="R59">
            <v>0.89078947368421046</v>
          </cell>
          <cell r="T59">
            <v>24.899999999999977</v>
          </cell>
          <cell r="U59">
            <v>673.54</v>
          </cell>
          <cell r="X59">
            <v>203.10000000000002</v>
          </cell>
          <cell r="Y59">
            <v>5493.85</v>
          </cell>
          <cell r="Z59">
            <v>0.89078866296980908</v>
          </cell>
          <cell r="AB59">
            <v>673.54</v>
          </cell>
        </row>
        <row r="60">
          <cell r="H60">
            <v>0</v>
          </cell>
          <cell r="I60">
            <v>16.2</v>
          </cell>
          <cell r="X60">
            <v>0</v>
          </cell>
          <cell r="Y60">
            <v>0</v>
          </cell>
          <cell r="AB60">
            <v>0</v>
          </cell>
        </row>
        <row r="61">
          <cell r="AB61">
            <v>0</v>
          </cell>
        </row>
        <row r="62">
          <cell r="U62">
            <v>0</v>
          </cell>
          <cell r="W62">
            <v>933.24</v>
          </cell>
          <cell r="Y62">
            <v>22603.439999999999</v>
          </cell>
          <cell r="Z62">
            <v>1.0430655923803194</v>
          </cell>
          <cell r="AB62">
            <v>0</v>
          </cell>
        </row>
        <row r="63">
          <cell r="AB63">
            <v>0</v>
          </cell>
        </row>
        <row r="64">
          <cell r="AB64">
            <v>0</v>
          </cell>
        </row>
        <row r="65">
          <cell r="H65">
            <v>14</v>
          </cell>
          <cell r="I65">
            <v>376.55</v>
          </cell>
          <cell r="P65">
            <v>0</v>
          </cell>
          <cell r="R65">
            <v>0.35714285714285715</v>
          </cell>
          <cell r="X65">
            <v>14</v>
          </cell>
          <cell r="Y65">
            <v>5271.7</v>
          </cell>
          <cell r="Z65">
            <v>1</v>
          </cell>
          <cell r="AB65">
            <v>0</v>
          </cell>
        </row>
        <row r="66">
          <cell r="H66">
            <v>4</v>
          </cell>
          <cell r="I66">
            <v>509.95</v>
          </cell>
          <cell r="P66">
            <v>0</v>
          </cell>
          <cell r="R66">
            <v>0.5</v>
          </cell>
          <cell r="X66">
            <v>4</v>
          </cell>
          <cell r="Y66">
            <v>2039.8</v>
          </cell>
          <cell r="Z66">
            <v>1</v>
          </cell>
          <cell r="AB66">
            <v>0</v>
          </cell>
        </row>
        <row r="67">
          <cell r="H67">
            <v>14</v>
          </cell>
          <cell r="I67">
            <v>261.68</v>
          </cell>
          <cell r="P67">
            <v>0</v>
          </cell>
          <cell r="R67">
            <v>0.2857142857142857</v>
          </cell>
          <cell r="X67">
            <v>14</v>
          </cell>
          <cell r="Y67">
            <v>3663.52</v>
          </cell>
          <cell r="Z67">
            <v>1</v>
          </cell>
          <cell r="AB67">
            <v>0</v>
          </cell>
        </row>
        <row r="68">
          <cell r="H68">
            <v>6</v>
          </cell>
          <cell r="I68">
            <v>155.54</v>
          </cell>
          <cell r="P68">
            <v>0</v>
          </cell>
          <cell r="R68">
            <v>0.5</v>
          </cell>
          <cell r="V68">
            <v>6</v>
          </cell>
          <cell r="W68">
            <v>933.24</v>
          </cell>
          <cell r="X68">
            <v>12</v>
          </cell>
          <cell r="Y68">
            <v>1866.48</v>
          </cell>
          <cell r="Z68">
            <v>2</v>
          </cell>
          <cell r="AB68">
            <v>0</v>
          </cell>
        </row>
        <row r="69">
          <cell r="H69">
            <v>4</v>
          </cell>
          <cell r="I69">
            <v>274.68</v>
          </cell>
          <cell r="P69">
            <v>0</v>
          </cell>
          <cell r="R69">
            <v>0.25</v>
          </cell>
          <cell r="X69">
            <v>4</v>
          </cell>
          <cell r="Y69">
            <v>1098.72</v>
          </cell>
          <cell r="Z69">
            <v>1</v>
          </cell>
          <cell r="AB69">
            <v>0</v>
          </cell>
        </row>
        <row r="70">
          <cell r="H70">
            <v>18</v>
          </cell>
          <cell r="I70">
            <v>351.02</v>
          </cell>
          <cell r="P70">
            <v>0</v>
          </cell>
          <cell r="R70">
            <v>0.44444444444444442</v>
          </cell>
          <cell r="X70">
            <v>18</v>
          </cell>
          <cell r="Y70">
            <v>6318.36</v>
          </cell>
          <cell r="Z70">
            <v>1</v>
          </cell>
          <cell r="AB70">
            <v>0</v>
          </cell>
        </row>
        <row r="71">
          <cell r="H71">
            <v>6</v>
          </cell>
          <cell r="I71">
            <v>390.81</v>
          </cell>
          <cell r="P71">
            <v>0</v>
          </cell>
          <cell r="R71">
            <v>0.5</v>
          </cell>
          <cell r="X71">
            <v>6</v>
          </cell>
          <cell r="Y71">
            <v>2344.86</v>
          </cell>
          <cell r="Z71">
            <v>1</v>
          </cell>
          <cell r="AB71">
            <v>0</v>
          </cell>
        </row>
        <row r="72">
          <cell r="AB72">
            <v>0</v>
          </cell>
        </row>
        <row r="73">
          <cell r="U73">
            <v>0</v>
          </cell>
          <cell r="W73">
            <v>45300.770000000004</v>
          </cell>
          <cell r="Y73">
            <v>82245.48000000001</v>
          </cell>
          <cell r="Z73">
            <v>2.2261780444826997</v>
          </cell>
          <cell r="AB73">
            <v>0</v>
          </cell>
        </row>
        <row r="74">
          <cell r="AB74">
            <v>0</v>
          </cell>
        </row>
        <row r="75">
          <cell r="H75">
            <v>2</v>
          </cell>
          <cell r="I75">
            <v>249.25</v>
          </cell>
          <cell r="P75">
            <v>0</v>
          </cell>
          <cell r="R75">
            <v>0</v>
          </cell>
          <cell r="X75">
            <v>2</v>
          </cell>
          <cell r="Y75">
            <v>498.5</v>
          </cell>
          <cell r="Z75">
            <v>1</v>
          </cell>
          <cell r="AB75">
            <v>0</v>
          </cell>
        </row>
        <row r="76">
          <cell r="I76" t="str">
            <v xml:space="preserve">                          -   </v>
          </cell>
          <cell r="AB76">
            <v>0</v>
          </cell>
        </row>
        <row r="77">
          <cell r="H77">
            <v>6</v>
          </cell>
          <cell r="I77">
            <v>108.45</v>
          </cell>
          <cell r="P77">
            <v>0</v>
          </cell>
          <cell r="R77">
            <v>1</v>
          </cell>
          <cell r="X77">
            <v>6</v>
          </cell>
          <cell r="Y77">
            <v>650.70000000000005</v>
          </cell>
          <cell r="Z77">
            <v>1</v>
          </cell>
          <cell r="AB77">
            <v>0</v>
          </cell>
        </row>
        <row r="78">
          <cell r="H78">
            <v>15</v>
          </cell>
          <cell r="I78">
            <v>162.68</v>
          </cell>
          <cell r="P78">
            <v>0.93333333333333335</v>
          </cell>
          <cell r="R78">
            <v>1</v>
          </cell>
          <cell r="X78">
            <v>15</v>
          </cell>
          <cell r="Y78">
            <v>2440.1999999999998</v>
          </cell>
          <cell r="Z78">
            <v>1</v>
          </cell>
          <cell r="AB78">
            <v>0</v>
          </cell>
        </row>
        <row r="79">
          <cell r="H79">
            <v>2</v>
          </cell>
          <cell r="I79">
            <v>81.34</v>
          </cell>
          <cell r="P79">
            <v>1</v>
          </cell>
          <cell r="R79">
            <v>1</v>
          </cell>
          <cell r="X79">
            <v>2</v>
          </cell>
          <cell r="Y79">
            <v>162.68</v>
          </cell>
          <cell r="Z79">
            <v>1</v>
          </cell>
          <cell r="AB79">
            <v>0</v>
          </cell>
        </row>
        <row r="80">
          <cell r="H80">
            <v>10</v>
          </cell>
          <cell r="I80">
            <v>189.8</v>
          </cell>
          <cell r="P80">
            <v>0</v>
          </cell>
          <cell r="R80">
            <v>1</v>
          </cell>
          <cell r="X80">
            <v>10</v>
          </cell>
          <cell r="Y80">
            <v>1898</v>
          </cell>
          <cell r="Z80">
            <v>1</v>
          </cell>
          <cell r="AB80">
            <v>0</v>
          </cell>
        </row>
        <row r="81">
          <cell r="H81">
            <v>8</v>
          </cell>
          <cell r="I81">
            <v>379.61</v>
          </cell>
          <cell r="P81">
            <v>1</v>
          </cell>
          <cell r="R81">
            <v>1</v>
          </cell>
          <cell r="X81">
            <v>8</v>
          </cell>
          <cell r="Y81">
            <v>3036.88</v>
          </cell>
          <cell r="Z81">
            <v>1</v>
          </cell>
          <cell r="AB81">
            <v>0</v>
          </cell>
        </row>
        <row r="82">
          <cell r="H82">
            <v>2</v>
          </cell>
          <cell r="I82">
            <v>216.91</v>
          </cell>
          <cell r="P82">
            <v>0</v>
          </cell>
          <cell r="R82">
            <v>1</v>
          </cell>
          <cell r="X82">
            <v>2</v>
          </cell>
          <cell r="Y82">
            <v>433.82</v>
          </cell>
          <cell r="Z82">
            <v>1</v>
          </cell>
          <cell r="AB82">
            <v>0</v>
          </cell>
        </row>
        <row r="83">
          <cell r="H83">
            <v>2</v>
          </cell>
          <cell r="I83">
            <v>271.14</v>
          </cell>
          <cell r="P83">
            <v>0</v>
          </cell>
          <cell r="R83">
            <v>1</v>
          </cell>
          <cell r="X83">
            <v>2</v>
          </cell>
          <cell r="Y83">
            <v>542.28</v>
          </cell>
          <cell r="Z83">
            <v>1</v>
          </cell>
          <cell r="AB83">
            <v>0</v>
          </cell>
        </row>
        <row r="84">
          <cell r="H84">
            <v>14</v>
          </cell>
          <cell r="I84">
            <v>75.319999999999993</v>
          </cell>
          <cell r="P84">
            <v>1</v>
          </cell>
          <cell r="R84">
            <v>1</v>
          </cell>
          <cell r="X84">
            <v>14</v>
          </cell>
          <cell r="Y84">
            <v>1054.48</v>
          </cell>
          <cell r="Z84">
            <v>1</v>
          </cell>
          <cell r="AB84">
            <v>0</v>
          </cell>
        </row>
        <row r="85">
          <cell r="H85">
            <v>1</v>
          </cell>
          <cell r="I85">
            <v>157.30000000000001</v>
          </cell>
          <cell r="P85">
            <v>1</v>
          </cell>
          <cell r="R85">
            <v>1</v>
          </cell>
          <cell r="X85">
            <v>1</v>
          </cell>
          <cell r="Y85">
            <v>157.30000000000001</v>
          </cell>
          <cell r="Z85">
            <v>1</v>
          </cell>
          <cell r="AB85">
            <v>0</v>
          </cell>
        </row>
        <row r="86">
          <cell r="H86">
            <v>1</v>
          </cell>
          <cell r="I86">
            <v>393.24</v>
          </cell>
          <cell r="P86">
            <v>1</v>
          </cell>
          <cell r="R86">
            <v>1</v>
          </cell>
          <cell r="X86">
            <v>1</v>
          </cell>
          <cell r="Y86">
            <v>393.24</v>
          </cell>
          <cell r="Z86">
            <v>1</v>
          </cell>
          <cell r="AB86">
            <v>0</v>
          </cell>
        </row>
        <row r="87">
          <cell r="H87">
            <v>2</v>
          </cell>
          <cell r="I87">
            <v>235.95</v>
          </cell>
          <cell r="P87">
            <v>0</v>
          </cell>
          <cell r="R87">
            <v>1</v>
          </cell>
          <cell r="X87">
            <v>2</v>
          </cell>
          <cell r="Y87">
            <v>471.9</v>
          </cell>
          <cell r="Z87">
            <v>1</v>
          </cell>
          <cell r="AB87">
            <v>0</v>
          </cell>
        </row>
        <row r="88">
          <cell r="H88">
            <v>1</v>
          </cell>
          <cell r="I88">
            <v>353.92</v>
          </cell>
          <cell r="P88">
            <v>0</v>
          </cell>
          <cell r="R88">
            <v>1</v>
          </cell>
          <cell r="X88">
            <v>1</v>
          </cell>
          <cell r="Y88">
            <v>353.92</v>
          </cell>
          <cell r="Z88">
            <v>1</v>
          </cell>
          <cell r="AB88">
            <v>0</v>
          </cell>
        </row>
        <row r="89">
          <cell r="H89">
            <v>1</v>
          </cell>
          <cell r="I89">
            <v>471.89</v>
          </cell>
          <cell r="P89">
            <v>0</v>
          </cell>
          <cell r="R89">
            <v>1</v>
          </cell>
          <cell r="X89">
            <v>1</v>
          </cell>
          <cell r="Y89">
            <v>471.89</v>
          </cell>
          <cell r="Z89">
            <v>1</v>
          </cell>
          <cell r="AB89">
            <v>0</v>
          </cell>
        </row>
        <row r="90">
          <cell r="H90">
            <v>2</v>
          </cell>
          <cell r="I90">
            <v>629.19000000000005</v>
          </cell>
          <cell r="P90">
            <v>0.5</v>
          </cell>
          <cell r="R90">
            <v>1</v>
          </cell>
          <cell r="X90">
            <v>2</v>
          </cell>
          <cell r="Y90">
            <v>1258.3800000000001</v>
          </cell>
          <cell r="Z90">
            <v>1</v>
          </cell>
          <cell r="AB90">
            <v>0</v>
          </cell>
        </row>
        <row r="91">
          <cell r="H91">
            <v>2</v>
          </cell>
          <cell r="I91">
            <v>786.49</v>
          </cell>
          <cell r="P91">
            <v>1</v>
          </cell>
          <cell r="R91">
            <v>1</v>
          </cell>
          <cell r="X91">
            <v>2</v>
          </cell>
          <cell r="Y91">
            <v>1572.98</v>
          </cell>
          <cell r="Z91">
            <v>1</v>
          </cell>
          <cell r="AB91">
            <v>0</v>
          </cell>
        </row>
        <row r="92">
          <cell r="H92" t="str">
            <v xml:space="preserve">                                   -   </v>
          </cell>
          <cell r="I92" t="str">
            <v xml:space="preserve">                          -   </v>
          </cell>
          <cell r="AB92">
            <v>0</v>
          </cell>
        </row>
        <row r="93">
          <cell r="H93">
            <v>5</v>
          </cell>
          <cell r="I93">
            <v>1198.55</v>
          </cell>
          <cell r="P93">
            <v>1</v>
          </cell>
          <cell r="R93">
            <v>1</v>
          </cell>
          <cell r="X93">
            <v>5</v>
          </cell>
          <cell r="Y93">
            <v>5992.75</v>
          </cell>
          <cell r="Z93">
            <v>1</v>
          </cell>
          <cell r="AB93">
            <v>0</v>
          </cell>
        </row>
        <row r="94">
          <cell r="H94">
            <v>4</v>
          </cell>
          <cell r="I94">
            <v>1598.06</v>
          </cell>
          <cell r="P94">
            <v>1</v>
          </cell>
          <cell r="R94">
            <v>1</v>
          </cell>
          <cell r="X94">
            <v>4</v>
          </cell>
          <cell r="Y94">
            <v>6392.24</v>
          </cell>
          <cell r="Z94">
            <v>1</v>
          </cell>
          <cell r="AB94">
            <v>0</v>
          </cell>
        </row>
        <row r="95">
          <cell r="H95">
            <v>1</v>
          </cell>
          <cell r="I95">
            <v>458.79</v>
          </cell>
          <cell r="P95">
            <v>1</v>
          </cell>
          <cell r="R95">
            <v>1</v>
          </cell>
          <cell r="X95">
            <v>1</v>
          </cell>
          <cell r="Y95">
            <v>458.79</v>
          </cell>
          <cell r="Z95">
            <v>1</v>
          </cell>
          <cell r="AB95">
            <v>0</v>
          </cell>
        </row>
        <row r="96">
          <cell r="H96">
            <v>10.26</v>
          </cell>
          <cell r="I96">
            <v>53.55</v>
          </cell>
          <cell r="P96">
            <v>0</v>
          </cell>
          <cell r="R96">
            <v>0</v>
          </cell>
          <cell r="V96">
            <v>1.0800000000000018</v>
          </cell>
          <cell r="W96">
            <v>57.83</v>
          </cell>
          <cell r="X96">
            <v>11.340000000000002</v>
          </cell>
          <cell r="Y96">
            <v>607.25</v>
          </cell>
          <cell r="Z96">
            <v>1.1052564522587456</v>
          </cell>
          <cell r="AB96">
            <v>0</v>
          </cell>
        </row>
        <row r="97">
          <cell r="H97">
            <v>9</v>
          </cell>
          <cell r="I97">
            <v>327.9</v>
          </cell>
          <cell r="P97">
            <v>0</v>
          </cell>
          <cell r="R97">
            <v>0</v>
          </cell>
          <cell r="X97">
            <v>9</v>
          </cell>
          <cell r="Y97">
            <v>2951.1</v>
          </cell>
          <cell r="Z97">
            <v>1</v>
          </cell>
          <cell r="AB97">
            <v>0</v>
          </cell>
        </row>
        <row r="98">
          <cell r="I98" t="str">
            <v xml:space="preserve">                          -   </v>
          </cell>
          <cell r="X98">
            <v>0</v>
          </cell>
          <cell r="AB98">
            <v>0</v>
          </cell>
        </row>
        <row r="99">
          <cell r="H99">
            <v>5</v>
          </cell>
          <cell r="I99">
            <v>246.11</v>
          </cell>
          <cell r="P99">
            <v>0</v>
          </cell>
          <cell r="R99">
            <v>0</v>
          </cell>
          <cell r="X99">
            <v>5</v>
          </cell>
          <cell r="Y99">
            <v>1230.55</v>
          </cell>
          <cell r="Z99">
            <v>1</v>
          </cell>
          <cell r="AB99">
            <v>0</v>
          </cell>
        </row>
        <row r="100">
          <cell r="H100">
            <v>1</v>
          </cell>
          <cell r="I100">
            <v>447.48</v>
          </cell>
          <cell r="P100">
            <v>0</v>
          </cell>
          <cell r="R100">
            <v>0</v>
          </cell>
          <cell r="X100">
            <v>1</v>
          </cell>
          <cell r="Y100">
            <v>447.48</v>
          </cell>
          <cell r="Z100">
            <v>1</v>
          </cell>
          <cell r="AB100">
            <v>0</v>
          </cell>
        </row>
        <row r="101">
          <cell r="H101">
            <v>12.6</v>
          </cell>
          <cell r="I101">
            <v>279.77999999999997</v>
          </cell>
          <cell r="P101">
            <v>0</v>
          </cell>
          <cell r="R101">
            <v>0</v>
          </cell>
          <cell r="V101">
            <v>161.70900000000003</v>
          </cell>
          <cell r="W101">
            <v>45242.94</v>
          </cell>
          <cell r="X101">
            <v>174.30900000000003</v>
          </cell>
          <cell r="Y101">
            <v>48768.17</v>
          </cell>
          <cell r="Z101">
            <v>13.834078440494494</v>
          </cell>
          <cell r="AB101">
            <v>0</v>
          </cell>
        </row>
        <row r="102">
          <cell r="AB102">
            <v>0</v>
          </cell>
        </row>
        <row r="103">
          <cell r="U103">
            <v>5111.05</v>
          </cell>
          <cell r="W103">
            <v>958.73</v>
          </cell>
          <cell r="Y103">
            <v>7331.6900000000005</v>
          </cell>
          <cell r="Z103">
            <v>0.63842539459178937</v>
          </cell>
          <cell r="AB103">
            <v>5111.05</v>
          </cell>
        </row>
        <row r="104">
          <cell r="H104">
            <v>13.8</v>
          </cell>
          <cell r="I104">
            <v>721.9</v>
          </cell>
          <cell r="P104">
            <v>0</v>
          </cell>
          <cell r="R104">
            <v>0</v>
          </cell>
          <cell r="T104">
            <v>7.08</v>
          </cell>
          <cell r="U104">
            <v>5111.05</v>
          </cell>
          <cell r="X104">
            <v>6.7200000000000006</v>
          </cell>
          <cell r="Y104">
            <v>4851.16</v>
          </cell>
          <cell r="Z104">
            <v>0.48695571870526855</v>
          </cell>
          <cell r="AB104">
            <v>5111.05</v>
          </cell>
        </row>
        <row r="105">
          <cell r="I105" t="str">
            <v xml:space="preserve">                          -   </v>
          </cell>
          <cell r="AB105">
            <v>0</v>
          </cell>
        </row>
        <row r="106">
          <cell r="H106">
            <v>7</v>
          </cell>
          <cell r="I106">
            <v>217.4</v>
          </cell>
          <cell r="P106">
            <v>0</v>
          </cell>
          <cell r="R106">
            <v>0</v>
          </cell>
          <cell r="V106">
            <v>4.41</v>
          </cell>
          <cell r="W106">
            <v>958.73</v>
          </cell>
          <cell r="X106">
            <v>11.41</v>
          </cell>
          <cell r="Y106">
            <v>2480.5300000000002</v>
          </cell>
          <cell r="Z106">
            <v>1.6299973715337102</v>
          </cell>
          <cell r="AB106">
            <v>0</v>
          </cell>
        </row>
        <row r="107">
          <cell r="AB107">
            <v>0</v>
          </cell>
        </row>
        <row r="108">
          <cell r="U108">
            <v>4548.75</v>
          </cell>
          <cell r="W108">
            <v>3946.67</v>
          </cell>
          <cell r="Y108">
            <v>53758.17</v>
          </cell>
          <cell r="Z108">
            <v>0.98892407799374016</v>
          </cell>
          <cell r="AB108">
            <v>4548.75</v>
          </cell>
        </row>
        <row r="109">
          <cell r="H109">
            <v>291.77999999999997</v>
          </cell>
          <cell r="I109">
            <v>91.81</v>
          </cell>
          <cell r="P109">
            <v>0</v>
          </cell>
          <cell r="R109">
            <v>0.95530879429707327</v>
          </cell>
          <cell r="T109">
            <v>13.189999999999941</v>
          </cell>
          <cell r="U109">
            <v>1210.97</v>
          </cell>
          <cell r="X109">
            <v>278.59000000000003</v>
          </cell>
          <cell r="Y109">
            <v>25577.34</v>
          </cell>
          <cell r="Z109">
            <v>0.95479447759321978</v>
          </cell>
          <cell r="AB109">
            <v>1210.97</v>
          </cell>
        </row>
        <row r="110">
          <cell r="H110">
            <v>284.77999999999997</v>
          </cell>
          <cell r="I110">
            <v>66</v>
          </cell>
          <cell r="P110">
            <v>0</v>
          </cell>
          <cell r="R110">
            <v>0.93665285483531158</v>
          </cell>
          <cell r="T110">
            <v>18.189999999999941</v>
          </cell>
          <cell r="U110">
            <v>1200.54</v>
          </cell>
          <cell r="X110">
            <v>266.59000000000003</v>
          </cell>
          <cell r="Y110">
            <v>17594.939999999999</v>
          </cell>
          <cell r="Z110">
            <v>0.93612613245312171</v>
          </cell>
          <cell r="AB110">
            <v>1200.54</v>
          </cell>
        </row>
        <row r="111">
          <cell r="H111">
            <v>7</v>
          </cell>
          <cell r="I111">
            <v>599.08000000000004</v>
          </cell>
          <cell r="P111">
            <v>0</v>
          </cell>
          <cell r="R111">
            <v>0</v>
          </cell>
          <cell r="V111">
            <v>5</v>
          </cell>
          <cell r="W111">
            <v>2995.4</v>
          </cell>
          <cell r="X111">
            <v>12</v>
          </cell>
          <cell r="Y111">
            <v>7188.96</v>
          </cell>
          <cell r="Z111">
            <v>1.7142857142857142</v>
          </cell>
          <cell r="AB111">
            <v>0</v>
          </cell>
        </row>
        <row r="112">
          <cell r="H112">
            <v>154.99</v>
          </cell>
          <cell r="I112">
            <v>17.3</v>
          </cell>
          <cell r="P112">
            <v>0</v>
          </cell>
          <cell r="R112">
            <v>0.20291631718175365</v>
          </cell>
          <cell r="T112">
            <v>123.54</v>
          </cell>
          <cell r="U112">
            <v>2137.2399999999998</v>
          </cell>
          <cell r="X112">
            <v>31.450000000000003</v>
          </cell>
          <cell r="Y112">
            <v>544.08000000000004</v>
          </cell>
          <cell r="Z112">
            <v>0.20291498217295958</v>
          </cell>
          <cell r="AB112">
            <v>2137.2399999999998</v>
          </cell>
        </row>
        <row r="113">
          <cell r="H113">
            <v>2.5</v>
          </cell>
          <cell r="I113">
            <v>27.47</v>
          </cell>
          <cell r="P113">
            <v>0</v>
          </cell>
          <cell r="R113">
            <v>0</v>
          </cell>
          <cell r="V113">
            <v>9</v>
          </cell>
          <cell r="W113">
            <v>247.23</v>
          </cell>
          <cell r="X113">
            <v>11.5</v>
          </cell>
          <cell r="Y113">
            <v>315.89999999999998</v>
          </cell>
          <cell r="Z113">
            <v>4.6002621231979024</v>
          </cell>
          <cell r="AB113">
            <v>0</v>
          </cell>
        </row>
        <row r="114">
          <cell r="H114">
            <v>107</v>
          </cell>
          <cell r="I114">
            <v>17.13</v>
          </cell>
          <cell r="P114">
            <v>0</v>
          </cell>
          <cell r="R114">
            <v>0.98130841121495327</v>
          </cell>
          <cell r="V114">
            <v>41.100000000000023</v>
          </cell>
          <cell r="W114">
            <v>704.04</v>
          </cell>
          <cell r="X114">
            <v>148.10000000000002</v>
          </cell>
          <cell r="Y114">
            <v>2536.9499999999998</v>
          </cell>
          <cell r="Z114">
            <v>1.3841105127911353</v>
          </cell>
          <cell r="AB114">
            <v>0</v>
          </cell>
        </row>
        <row r="115">
          <cell r="AB115">
            <v>0</v>
          </cell>
        </row>
        <row r="116">
          <cell r="U116">
            <v>1071.1199999999999</v>
          </cell>
          <cell r="W116">
            <v>0</v>
          </cell>
          <cell r="Y116">
            <v>28644.73</v>
          </cell>
          <cell r="Z116">
            <v>0.96395458989058036</v>
          </cell>
          <cell r="AB116">
            <v>1071.1199999999999</v>
          </cell>
        </row>
        <row r="117">
          <cell r="H117">
            <v>169.75</v>
          </cell>
          <cell r="I117">
            <v>6.31</v>
          </cell>
          <cell r="P117">
            <v>0</v>
          </cell>
          <cell r="R117">
            <v>0</v>
          </cell>
          <cell r="T117">
            <v>169.75</v>
          </cell>
          <cell r="U117">
            <v>1071.1199999999999</v>
          </cell>
          <cell r="X117">
            <v>0</v>
          </cell>
          <cell r="Y117">
            <v>0</v>
          </cell>
          <cell r="Z117">
            <v>0</v>
          </cell>
          <cell r="AB117">
            <v>1071.1199999999999</v>
          </cell>
        </row>
        <row r="118">
          <cell r="H118">
            <v>77</v>
          </cell>
          <cell r="I118">
            <v>105.55</v>
          </cell>
          <cell r="P118">
            <v>0</v>
          </cell>
          <cell r="R118">
            <v>1</v>
          </cell>
          <cell r="X118">
            <v>77</v>
          </cell>
          <cell r="Y118">
            <v>8127.35</v>
          </cell>
          <cell r="Z118">
            <v>1</v>
          </cell>
          <cell r="AB118">
            <v>0</v>
          </cell>
        </row>
        <row r="119">
          <cell r="H119">
            <v>105</v>
          </cell>
          <cell r="I119">
            <v>62.85</v>
          </cell>
          <cell r="P119">
            <v>0</v>
          </cell>
          <cell r="R119">
            <v>1</v>
          </cell>
          <cell r="X119">
            <v>105</v>
          </cell>
          <cell r="Y119">
            <v>6599.25</v>
          </cell>
          <cell r="Z119">
            <v>1</v>
          </cell>
          <cell r="AB119">
            <v>0</v>
          </cell>
        </row>
        <row r="120">
          <cell r="H120">
            <v>221.45</v>
          </cell>
          <cell r="I120">
            <v>62.85</v>
          </cell>
          <cell r="P120">
            <v>0.91601941747572835</v>
          </cell>
          <cell r="R120">
            <v>0.91601941747572835</v>
          </cell>
          <cell r="X120">
            <v>221.45</v>
          </cell>
          <cell r="Y120">
            <v>13918.13</v>
          </cell>
          <cell r="Z120">
            <v>1</v>
          </cell>
          <cell r="AB120">
            <v>0</v>
          </cell>
        </row>
        <row r="121">
          <cell r="AB121">
            <v>0</v>
          </cell>
        </row>
        <row r="122">
          <cell r="U122">
            <v>0</v>
          </cell>
          <cell r="W122">
            <v>3517.6400000000003</v>
          </cell>
          <cell r="Y122">
            <v>58336.15</v>
          </cell>
          <cell r="Z122">
            <v>1.0641690305280151</v>
          </cell>
          <cell r="AB122">
            <v>0</v>
          </cell>
        </row>
        <row r="123">
          <cell r="AB123">
            <v>0</v>
          </cell>
        </row>
        <row r="124">
          <cell r="AB124">
            <v>0</v>
          </cell>
        </row>
        <row r="125">
          <cell r="H125">
            <v>137.80000000000001</v>
          </cell>
          <cell r="I125">
            <v>16.059999999999999</v>
          </cell>
          <cell r="P125">
            <v>0</v>
          </cell>
          <cell r="R125">
            <v>0.99999999999999978</v>
          </cell>
          <cell r="X125">
            <v>137.80000000000001</v>
          </cell>
          <cell r="Y125">
            <v>2213.06</v>
          </cell>
          <cell r="Z125">
            <v>1</v>
          </cell>
          <cell r="AB125">
            <v>0</v>
          </cell>
        </row>
        <row r="126">
          <cell r="H126">
            <v>136.46</v>
          </cell>
          <cell r="I126">
            <v>19.989999999999998</v>
          </cell>
          <cell r="P126">
            <v>0</v>
          </cell>
          <cell r="R126">
            <v>1</v>
          </cell>
          <cell r="X126">
            <v>136.46</v>
          </cell>
          <cell r="Y126">
            <v>2727.83</v>
          </cell>
          <cell r="Z126">
            <v>1</v>
          </cell>
          <cell r="AB126">
            <v>0</v>
          </cell>
        </row>
        <row r="127">
          <cell r="H127">
            <v>959.21</v>
          </cell>
          <cell r="I127">
            <v>28.41</v>
          </cell>
          <cell r="P127">
            <v>0.87710240718924948</v>
          </cell>
          <cell r="R127">
            <v>0.99340644905703646</v>
          </cell>
          <cell r="X127">
            <v>959.21</v>
          </cell>
          <cell r="Y127">
            <v>27251.15</v>
          </cell>
          <cell r="Z127">
            <v>1</v>
          </cell>
          <cell r="AB127">
            <v>0</v>
          </cell>
        </row>
        <row r="128">
          <cell r="I128" t="str">
            <v xml:space="preserve">                          -   </v>
          </cell>
          <cell r="X128">
            <v>0</v>
          </cell>
          <cell r="AB128">
            <v>0</v>
          </cell>
        </row>
        <row r="129">
          <cell r="H129">
            <v>24.74</v>
          </cell>
          <cell r="I129">
            <v>19.989999999999998</v>
          </cell>
          <cell r="P129">
            <v>0</v>
          </cell>
          <cell r="R129">
            <v>1</v>
          </cell>
          <cell r="X129">
            <v>24.74</v>
          </cell>
          <cell r="Y129">
            <v>494.55</v>
          </cell>
          <cell r="Z129">
            <v>1</v>
          </cell>
          <cell r="AB129">
            <v>0</v>
          </cell>
        </row>
        <row r="130">
          <cell r="X130">
            <v>0</v>
          </cell>
          <cell r="Y130">
            <v>0</v>
          </cell>
          <cell r="AB130">
            <v>0</v>
          </cell>
        </row>
        <row r="131">
          <cell r="X131">
            <v>0</v>
          </cell>
          <cell r="Y131">
            <v>0</v>
          </cell>
          <cell r="AB131">
            <v>0</v>
          </cell>
        </row>
        <row r="132">
          <cell r="H132">
            <v>51.85</v>
          </cell>
          <cell r="I132">
            <v>4.3</v>
          </cell>
          <cell r="P132">
            <v>0</v>
          </cell>
          <cell r="R132">
            <v>0.6345226615236258</v>
          </cell>
          <cell r="V132">
            <v>114.37715</v>
          </cell>
          <cell r="W132">
            <v>491.82</v>
          </cell>
          <cell r="X132">
            <v>166.22714999999999</v>
          </cell>
          <cell r="Y132">
            <v>714.77</v>
          </cell>
          <cell r="Z132">
            <v>3.2059654631083205</v>
          </cell>
          <cell r="AB132">
            <v>0</v>
          </cell>
        </row>
        <row r="133">
          <cell r="H133">
            <v>63.19</v>
          </cell>
          <cell r="I133">
            <v>16.059999999999999</v>
          </cell>
          <cell r="P133">
            <v>0</v>
          </cell>
          <cell r="R133">
            <v>0.5206520018990346</v>
          </cell>
          <cell r="X133">
            <v>63.19</v>
          </cell>
          <cell r="Y133">
            <v>1014.83</v>
          </cell>
          <cell r="Z133">
            <v>1</v>
          </cell>
          <cell r="AB133">
            <v>0</v>
          </cell>
        </row>
        <row r="134">
          <cell r="H134">
            <v>14.86</v>
          </cell>
          <cell r="I134">
            <v>19.989999999999998</v>
          </cell>
          <cell r="P134">
            <v>0</v>
          </cell>
          <cell r="R134">
            <v>1</v>
          </cell>
          <cell r="V134">
            <v>151.36714999999998</v>
          </cell>
          <cell r="W134">
            <v>3025.82</v>
          </cell>
          <cell r="X134">
            <v>166.22714999999999</v>
          </cell>
          <cell r="Y134">
            <v>3322.88</v>
          </cell>
          <cell r="Z134">
            <v>11.186264938562532</v>
          </cell>
          <cell r="AB134">
            <v>0</v>
          </cell>
        </row>
        <row r="135">
          <cell r="H135">
            <v>460.27</v>
          </cell>
          <cell r="I135">
            <v>44.75</v>
          </cell>
          <cell r="P135">
            <v>0.10135355334912118</v>
          </cell>
          <cell r="R135">
            <v>1</v>
          </cell>
          <cell r="X135">
            <v>460.27</v>
          </cell>
          <cell r="Y135">
            <v>20597.080000000002</v>
          </cell>
          <cell r="Z135">
            <v>1</v>
          </cell>
          <cell r="AB135">
            <v>0</v>
          </cell>
        </row>
        <row r="136">
          <cell r="AB136">
            <v>0</v>
          </cell>
        </row>
        <row r="137">
          <cell r="U137">
            <v>17681.78</v>
          </cell>
          <cell r="W137">
            <v>35461.11</v>
          </cell>
          <cell r="Y137">
            <v>175089.06</v>
          </cell>
          <cell r="Z137">
            <v>1.1130209594115457</v>
          </cell>
          <cell r="AB137">
            <v>17681.78</v>
          </cell>
        </row>
        <row r="138">
          <cell r="H138">
            <v>1707</v>
          </cell>
          <cell r="I138">
            <v>18.32</v>
          </cell>
          <cell r="P138">
            <v>0.16094317516110135</v>
          </cell>
          <cell r="R138">
            <v>0.88037492677211482</v>
          </cell>
          <cell r="T138">
            <v>441.45900000000006</v>
          </cell>
          <cell r="U138">
            <v>8087.52</v>
          </cell>
          <cell r="X138">
            <v>1265.5409999999999</v>
          </cell>
          <cell r="Y138">
            <v>23184.71</v>
          </cell>
          <cell r="Z138">
            <v>0.74138309248074319</v>
          </cell>
          <cell r="AB138">
            <v>8087.52</v>
          </cell>
        </row>
        <row r="139">
          <cell r="H139">
            <v>1304.0999999999999</v>
          </cell>
          <cell r="I139">
            <v>12.96</v>
          </cell>
          <cell r="P139">
            <v>0.42174679855839281</v>
          </cell>
          <cell r="R139">
            <v>1</v>
          </cell>
          <cell r="V139">
            <v>351.73</v>
          </cell>
          <cell r="W139">
            <v>4558.42</v>
          </cell>
          <cell r="X139">
            <v>1655.83</v>
          </cell>
          <cell r="Y139">
            <v>21459.55</v>
          </cell>
          <cell r="Z139">
            <v>1.2697109601547352</v>
          </cell>
          <cell r="AB139">
            <v>0</v>
          </cell>
        </row>
        <row r="140">
          <cell r="H140">
            <v>224</v>
          </cell>
          <cell r="I140">
            <v>52.2</v>
          </cell>
          <cell r="P140">
            <v>0.97669642857142858</v>
          </cell>
          <cell r="R140">
            <v>1</v>
          </cell>
          <cell r="V140">
            <v>43.99</v>
          </cell>
          <cell r="W140">
            <v>2296.27</v>
          </cell>
          <cell r="X140">
            <v>267.99</v>
          </cell>
          <cell r="Y140">
            <v>13989.07</v>
          </cell>
          <cell r="Z140">
            <v>1.19638324438971</v>
          </cell>
          <cell r="AB140">
            <v>0</v>
          </cell>
        </row>
        <row r="141">
          <cell r="H141">
            <v>36</v>
          </cell>
          <cell r="I141">
            <v>48.22</v>
          </cell>
          <cell r="P141">
            <v>0</v>
          </cell>
          <cell r="R141">
            <v>0.32944444444444443</v>
          </cell>
          <cell r="T141">
            <v>21.176499999999997</v>
          </cell>
          <cell r="U141">
            <v>1021.13</v>
          </cell>
          <cell r="X141">
            <v>14.823500000000003</v>
          </cell>
          <cell r="Y141">
            <v>714.78</v>
          </cell>
          <cell r="Z141">
            <v>0.41175860638739109</v>
          </cell>
          <cell r="AB141">
            <v>1021.13</v>
          </cell>
        </row>
        <row r="142">
          <cell r="H142">
            <v>470</v>
          </cell>
          <cell r="I142">
            <v>44.32</v>
          </cell>
          <cell r="P142">
            <v>0.5588936170212766</v>
          </cell>
          <cell r="R142">
            <v>0.5588936170212766</v>
          </cell>
          <cell r="T142">
            <v>193.43710000000004</v>
          </cell>
          <cell r="U142">
            <v>8573.1299999999992</v>
          </cell>
          <cell r="X142">
            <v>276.56289999999996</v>
          </cell>
          <cell r="Y142">
            <v>12257.26</v>
          </cell>
          <cell r="Z142">
            <v>0.58843133113142332</v>
          </cell>
          <cell r="AB142">
            <v>8573.1299999999992</v>
          </cell>
        </row>
        <row r="143">
          <cell r="H143">
            <v>885</v>
          </cell>
          <cell r="I143">
            <v>78.22</v>
          </cell>
          <cell r="P143">
            <v>0</v>
          </cell>
          <cell r="R143">
            <v>0.99760451977401132</v>
          </cell>
          <cell r="V143">
            <v>365.71749999999997</v>
          </cell>
          <cell r="W143">
            <v>28606.42</v>
          </cell>
          <cell r="X143">
            <v>1250.7175</v>
          </cell>
          <cell r="Y143">
            <v>97831.12</v>
          </cell>
          <cell r="Z143">
            <v>1.4132400718240743</v>
          </cell>
          <cell r="AB143">
            <v>0</v>
          </cell>
        </row>
        <row r="144">
          <cell r="H144">
            <v>77</v>
          </cell>
          <cell r="I144">
            <v>73.41</v>
          </cell>
          <cell r="P144">
            <v>0</v>
          </cell>
          <cell r="R144">
            <v>1</v>
          </cell>
          <cell r="X144">
            <v>77</v>
          </cell>
          <cell r="Y144">
            <v>5652.57</v>
          </cell>
          <cell r="Z144">
            <v>1</v>
          </cell>
          <cell r="AB144">
            <v>0</v>
          </cell>
        </row>
        <row r="145">
          <cell r="AB145">
            <v>0</v>
          </cell>
        </row>
        <row r="146">
          <cell r="U146">
            <v>7617</v>
          </cell>
          <cell r="W146">
            <v>0</v>
          </cell>
          <cell r="Y146">
            <v>18191.330000000002</v>
          </cell>
          <cell r="Z146">
            <v>0.70486218607543683</v>
          </cell>
          <cell r="AB146">
            <v>7617</v>
          </cell>
        </row>
        <row r="147">
          <cell r="H147">
            <v>32.799999999999997</v>
          </cell>
          <cell r="I147">
            <v>36.24</v>
          </cell>
          <cell r="P147">
            <v>0</v>
          </cell>
          <cell r="R147">
            <v>0</v>
          </cell>
          <cell r="X147">
            <v>32.799999999999997</v>
          </cell>
          <cell r="Y147">
            <v>1188.67</v>
          </cell>
          <cell r="Z147">
            <v>1</v>
          </cell>
          <cell r="AB147">
            <v>0</v>
          </cell>
        </row>
        <row r="148">
          <cell r="H148">
            <v>648</v>
          </cell>
          <cell r="I148">
            <v>9.68</v>
          </cell>
          <cell r="P148">
            <v>0</v>
          </cell>
          <cell r="R148">
            <v>0</v>
          </cell>
          <cell r="T148">
            <v>624.6</v>
          </cell>
          <cell r="U148">
            <v>6046.12</v>
          </cell>
          <cell r="X148">
            <v>23.399999999999977</v>
          </cell>
          <cell r="Y148">
            <v>226.51</v>
          </cell>
          <cell r="Z148">
            <v>3.6110792266095294E-2</v>
          </cell>
          <cell r="AB148">
            <v>6046.12</v>
          </cell>
        </row>
        <row r="149">
          <cell r="H149">
            <v>548</v>
          </cell>
          <cell r="I149">
            <v>33.479999999999997</v>
          </cell>
          <cell r="P149">
            <v>0</v>
          </cell>
          <cell r="R149">
            <v>0.57737226277372256</v>
          </cell>
          <cell r="T149">
            <v>46.920000000000016</v>
          </cell>
          <cell r="U149">
            <v>1570.88</v>
          </cell>
          <cell r="X149">
            <v>501.08</v>
          </cell>
          <cell r="Y149">
            <v>16776.150000000001</v>
          </cell>
          <cell r="Z149">
            <v>0.91437910420427493</v>
          </cell>
          <cell r="AB149">
            <v>1570.88</v>
          </cell>
        </row>
        <row r="150">
          <cell r="AB150">
            <v>0</v>
          </cell>
        </row>
        <row r="151">
          <cell r="U151">
            <v>0</v>
          </cell>
          <cell r="W151">
            <v>23121.769999999997</v>
          </cell>
          <cell r="Y151">
            <v>71355.460000000006</v>
          </cell>
          <cell r="Z151">
            <v>1.4793700169673971</v>
          </cell>
          <cell r="AB151">
            <v>0</v>
          </cell>
        </row>
        <row r="152">
          <cell r="AB152">
            <v>0</v>
          </cell>
        </row>
        <row r="153">
          <cell r="H153">
            <v>638.78</v>
          </cell>
          <cell r="I153">
            <v>23.87</v>
          </cell>
          <cell r="P153">
            <v>0</v>
          </cell>
          <cell r="R153">
            <v>0.75047747268230069</v>
          </cell>
          <cell r="V153">
            <v>42.508000000000038</v>
          </cell>
          <cell r="W153">
            <v>1014.66</v>
          </cell>
          <cell r="X153">
            <v>681.28800000000001</v>
          </cell>
          <cell r="Y153">
            <v>16262.34</v>
          </cell>
          <cell r="Z153">
            <v>1.0665459050464761</v>
          </cell>
          <cell r="AB153">
            <v>0</v>
          </cell>
        </row>
        <row r="154">
          <cell r="H154">
            <v>77.3</v>
          </cell>
          <cell r="I154">
            <v>8.92</v>
          </cell>
          <cell r="P154">
            <v>0</v>
          </cell>
          <cell r="R154">
            <v>0.47141009055627425</v>
          </cell>
          <cell r="X154">
            <v>77.3</v>
          </cell>
          <cell r="Y154">
            <v>689.51</v>
          </cell>
          <cell r="Z154">
            <v>1</v>
          </cell>
          <cell r="AB154">
            <v>0</v>
          </cell>
        </row>
        <row r="155">
          <cell r="H155" t="str">
            <v xml:space="preserve">                                   -   </v>
          </cell>
          <cell r="I155" t="str">
            <v xml:space="preserve">                          -   </v>
          </cell>
          <cell r="AB155">
            <v>0</v>
          </cell>
        </row>
        <row r="156">
          <cell r="H156">
            <v>606.17999999999995</v>
          </cell>
          <cell r="I156">
            <v>9.68</v>
          </cell>
          <cell r="P156">
            <v>0</v>
          </cell>
          <cell r="R156">
            <v>0.57250321686627748</v>
          </cell>
          <cell r="V156">
            <v>261.43096249999996</v>
          </cell>
          <cell r="W156">
            <v>2530.65</v>
          </cell>
          <cell r="X156">
            <v>867.61096249999991</v>
          </cell>
          <cell r="Y156">
            <v>8398.4699999999993</v>
          </cell>
          <cell r="Z156">
            <v>1.4312760105115698</v>
          </cell>
          <cell r="AB156">
            <v>0</v>
          </cell>
        </row>
        <row r="157">
          <cell r="H157" t="str">
            <v xml:space="preserve">                                   -   </v>
          </cell>
          <cell r="I157" t="str">
            <v xml:space="preserve">                          -   </v>
          </cell>
          <cell r="AB157">
            <v>0</v>
          </cell>
        </row>
        <row r="158">
          <cell r="H158">
            <v>732.68</v>
          </cell>
          <cell r="I158">
            <v>19.77</v>
          </cell>
          <cell r="P158">
            <v>0</v>
          </cell>
          <cell r="R158">
            <v>0.99634219577441729</v>
          </cell>
          <cell r="V158">
            <v>246.34500000000014</v>
          </cell>
          <cell r="W158">
            <v>4870.24</v>
          </cell>
          <cell r="X158">
            <v>979.02500000000009</v>
          </cell>
          <cell r="Y158">
            <v>19355.32</v>
          </cell>
          <cell r="Z158">
            <v>1.3362245841928384</v>
          </cell>
          <cell r="AB158">
            <v>0</v>
          </cell>
        </row>
        <row r="159">
          <cell r="H159" t="str">
            <v xml:space="preserve">                                   -   </v>
          </cell>
          <cell r="I159" t="str">
            <v xml:space="preserve">                          -   </v>
          </cell>
          <cell r="AB159">
            <v>0</v>
          </cell>
        </row>
        <row r="160">
          <cell r="H160">
            <v>257.60000000000002</v>
          </cell>
          <cell r="I160">
            <v>27.98</v>
          </cell>
          <cell r="P160">
            <v>0</v>
          </cell>
          <cell r="R160">
            <v>0.34879658385093165</v>
          </cell>
          <cell r="X160">
            <v>257.60000000000002</v>
          </cell>
          <cell r="Y160">
            <v>7207.64</v>
          </cell>
          <cell r="Z160">
            <v>1</v>
          </cell>
          <cell r="AB160">
            <v>0</v>
          </cell>
        </row>
        <row r="161">
          <cell r="H161">
            <v>54.8</v>
          </cell>
          <cell r="I161">
            <v>10.6</v>
          </cell>
          <cell r="P161">
            <v>0</v>
          </cell>
          <cell r="R161">
            <v>0.57737226277372267</v>
          </cell>
          <cell r="V161">
            <v>273.89800000000002</v>
          </cell>
          <cell r="W161">
            <v>2903.31</v>
          </cell>
          <cell r="X161">
            <v>328.69800000000004</v>
          </cell>
          <cell r="Y161">
            <v>3484.19</v>
          </cell>
          <cell r="Z161">
            <v>5.9981235367029333</v>
          </cell>
          <cell r="AB161">
            <v>0</v>
          </cell>
        </row>
        <row r="162">
          <cell r="H162">
            <v>170.5</v>
          </cell>
          <cell r="I162">
            <v>24.37</v>
          </cell>
          <cell r="P162">
            <v>0</v>
          </cell>
          <cell r="R162">
            <v>0</v>
          </cell>
          <cell r="V162">
            <v>484.32140000000004</v>
          </cell>
          <cell r="W162">
            <v>11802.91</v>
          </cell>
          <cell r="X162">
            <v>654.82140000000004</v>
          </cell>
          <cell r="Y162">
            <v>15957.99</v>
          </cell>
          <cell r="Z162">
            <v>3.8405975336214948</v>
          </cell>
          <cell r="AB162">
            <v>0</v>
          </cell>
        </row>
        <row r="163">
          <cell r="AB163">
            <v>0</v>
          </cell>
        </row>
        <row r="164">
          <cell r="U164">
            <v>0</v>
          </cell>
          <cell r="W164">
            <v>11972.269999999999</v>
          </cell>
          <cell r="Y164">
            <v>88053.09</v>
          </cell>
          <cell r="Z164">
            <v>1.157362677921016</v>
          </cell>
          <cell r="AB164">
            <v>0</v>
          </cell>
        </row>
        <row r="165">
          <cell r="H165">
            <v>43.5</v>
          </cell>
          <cell r="I165">
            <v>235.76</v>
          </cell>
          <cell r="P165">
            <v>0</v>
          </cell>
          <cell r="R165">
            <v>0.50137931034482752</v>
          </cell>
          <cell r="V165">
            <v>8.3949999999999818</v>
          </cell>
          <cell r="W165">
            <v>1979.2</v>
          </cell>
          <cell r="X165">
            <v>51.894999999999982</v>
          </cell>
          <cell r="Y165">
            <v>12234.76</v>
          </cell>
          <cell r="Z165">
            <v>1.1929879987050926</v>
          </cell>
          <cell r="AB165">
            <v>0</v>
          </cell>
        </row>
        <row r="166">
          <cell r="H166">
            <v>10.5</v>
          </cell>
          <cell r="I166">
            <v>235.76</v>
          </cell>
          <cell r="P166">
            <v>0</v>
          </cell>
          <cell r="R166">
            <v>0</v>
          </cell>
          <cell r="V166">
            <v>3.9800000000000004</v>
          </cell>
          <cell r="W166">
            <v>938.32</v>
          </cell>
          <cell r="X166">
            <v>14.48</v>
          </cell>
          <cell r="Y166">
            <v>3413.8</v>
          </cell>
          <cell r="Z166">
            <v>1.3790456800297317</v>
          </cell>
          <cell r="AB166">
            <v>0</v>
          </cell>
        </row>
        <row r="167">
          <cell r="H167">
            <v>53</v>
          </cell>
          <cell r="I167">
            <v>377.1</v>
          </cell>
          <cell r="P167">
            <v>0</v>
          </cell>
          <cell r="R167">
            <v>0.33773584905660375</v>
          </cell>
          <cell r="V167">
            <v>6.1300000000000026</v>
          </cell>
          <cell r="W167">
            <v>2311.62</v>
          </cell>
          <cell r="X167">
            <v>59.13</v>
          </cell>
          <cell r="Y167">
            <v>22297.919999999998</v>
          </cell>
          <cell r="Z167">
            <v>1.1156602272556702</v>
          </cell>
          <cell r="AB167">
            <v>0</v>
          </cell>
        </row>
        <row r="168">
          <cell r="H168">
            <v>35.700000000000003</v>
          </cell>
          <cell r="I168">
            <v>234.98</v>
          </cell>
          <cell r="P168">
            <v>0</v>
          </cell>
          <cell r="R168">
            <v>0.22296918767507001</v>
          </cell>
          <cell r="V168">
            <v>3.7999999999999972</v>
          </cell>
          <cell r="W168">
            <v>892.92</v>
          </cell>
          <cell r="X168">
            <v>39.5</v>
          </cell>
          <cell r="Y168">
            <v>9281.7099999999991</v>
          </cell>
          <cell r="Z168">
            <v>1.1064433684039869</v>
          </cell>
          <cell r="AB168">
            <v>0</v>
          </cell>
        </row>
        <row r="169">
          <cell r="H169">
            <v>65.8</v>
          </cell>
          <cell r="I169">
            <v>44.33</v>
          </cell>
          <cell r="P169">
            <v>0</v>
          </cell>
          <cell r="R169">
            <v>0</v>
          </cell>
          <cell r="V169">
            <v>10.789999999999992</v>
          </cell>
          <cell r="W169">
            <v>478.32</v>
          </cell>
          <cell r="X169">
            <v>76.589999999999989</v>
          </cell>
          <cell r="Y169">
            <v>3395.23</v>
          </cell>
          <cell r="Z169">
            <v>1.1639817478084686</v>
          </cell>
          <cell r="AB169">
            <v>0</v>
          </cell>
        </row>
        <row r="170">
          <cell r="H170">
            <v>2</v>
          </cell>
          <cell r="I170">
            <v>251.72</v>
          </cell>
          <cell r="P170">
            <v>0</v>
          </cell>
          <cell r="R170">
            <v>0</v>
          </cell>
          <cell r="X170">
            <v>2</v>
          </cell>
          <cell r="Y170">
            <v>503.44</v>
          </cell>
          <cell r="Z170">
            <v>1</v>
          </cell>
          <cell r="AB170">
            <v>0</v>
          </cell>
        </row>
        <row r="171">
          <cell r="H171">
            <v>10.9</v>
          </cell>
          <cell r="I171">
            <v>273.23</v>
          </cell>
          <cell r="P171">
            <v>0</v>
          </cell>
          <cell r="R171">
            <v>1</v>
          </cell>
          <cell r="X171">
            <v>10.9</v>
          </cell>
          <cell r="Y171">
            <v>2978.2</v>
          </cell>
          <cell r="Z171">
            <v>1</v>
          </cell>
          <cell r="AB171">
            <v>0</v>
          </cell>
        </row>
        <row r="172">
          <cell r="H172">
            <v>11.79</v>
          </cell>
          <cell r="I172">
            <v>453</v>
          </cell>
          <cell r="P172">
            <v>0</v>
          </cell>
          <cell r="R172">
            <v>1</v>
          </cell>
          <cell r="X172">
            <v>11.79</v>
          </cell>
          <cell r="Y172">
            <v>5340.87</v>
          </cell>
          <cell r="Z172">
            <v>1</v>
          </cell>
          <cell r="AB172">
            <v>0</v>
          </cell>
        </row>
        <row r="173">
          <cell r="H173">
            <v>1</v>
          </cell>
          <cell r="I173">
            <v>226.5</v>
          </cell>
          <cell r="P173">
            <v>0</v>
          </cell>
          <cell r="R173">
            <v>0</v>
          </cell>
          <cell r="X173">
            <v>1</v>
          </cell>
          <cell r="Y173">
            <v>226.5</v>
          </cell>
          <cell r="Z173">
            <v>1</v>
          </cell>
          <cell r="AB173">
            <v>0</v>
          </cell>
        </row>
        <row r="174">
          <cell r="H174">
            <v>2</v>
          </cell>
          <cell r="I174">
            <v>213.6</v>
          </cell>
          <cell r="P174">
            <v>0</v>
          </cell>
          <cell r="R174">
            <v>0</v>
          </cell>
          <cell r="X174">
            <v>2</v>
          </cell>
          <cell r="Y174">
            <v>427.2</v>
          </cell>
          <cell r="Z174">
            <v>1</v>
          </cell>
          <cell r="AB174">
            <v>0</v>
          </cell>
        </row>
        <row r="175">
          <cell r="H175">
            <v>8</v>
          </cell>
          <cell r="I175">
            <v>142</v>
          </cell>
          <cell r="P175">
            <v>0</v>
          </cell>
          <cell r="R175">
            <v>0</v>
          </cell>
          <cell r="X175">
            <v>8</v>
          </cell>
          <cell r="Y175">
            <v>1136</v>
          </cell>
          <cell r="Z175">
            <v>1</v>
          </cell>
          <cell r="AB175">
            <v>0</v>
          </cell>
        </row>
        <row r="176">
          <cell r="H176">
            <v>2</v>
          </cell>
          <cell r="I176">
            <v>142</v>
          </cell>
          <cell r="P176">
            <v>0</v>
          </cell>
          <cell r="R176">
            <v>0</v>
          </cell>
          <cell r="X176">
            <v>2</v>
          </cell>
          <cell r="Y176">
            <v>284</v>
          </cell>
          <cell r="Z176">
            <v>1</v>
          </cell>
          <cell r="AB176">
            <v>0</v>
          </cell>
        </row>
        <row r="177">
          <cell r="H177">
            <v>2.85</v>
          </cell>
          <cell r="I177">
            <v>212.73</v>
          </cell>
          <cell r="P177">
            <v>0</v>
          </cell>
          <cell r="R177">
            <v>0</v>
          </cell>
          <cell r="V177">
            <v>2.1300000000000003</v>
          </cell>
          <cell r="W177">
            <v>453.11</v>
          </cell>
          <cell r="X177">
            <v>4.9800000000000004</v>
          </cell>
          <cell r="Y177">
            <v>1059.3900000000001</v>
          </cell>
          <cell r="Z177">
            <v>1.7473609553341694</v>
          </cell>
          <cell r="AB177">
            <v>0</v>
          </cell>
        </row>
        <row r="178">
          <cell r="H178">
            <v>9.1999999999999993</v>
          </cell>
          <cell r="I178">
            <v>96.47</v>
          </cell>
          <cell r="P178">
            <v>0</v>
          </cell>
          <cell r="R178">
            <v>0</v>
          </cell>
          <cell r="V178">
            <v>9.1999999999999993</v>
          </cell>
          <cell r="W178">
            <v>887.52</v>
          </cell>
          <cell r="X178">
            <v>18.399999999999999</v>
          </cell>
          <cell r="Y178">
            <v>1775.04</v>
          </cell>
          <cell r="Z178">
            <v>2</v>
          </cell>
          <cell r="AB178">
            <v>0</v>
          </cell>
        </row>
        <row r="179">
          <cell r="H179">
            <v>3</v>
          </cell>
          <cell r="I179">
            <v>5188.55</v>
          </cell>
          <cell r="P179">
            <v>0</v>
          </cell>
          <cell r="R179">
            <v>0</v>
          </cell>
          <cell r="X179">
            <v>3</v>
          </cell>
          <cell r="Y179">
            <v>15565.65</v>
          </cell>
          <cell r="Z179">
            <v>1</v>
          </cell>
          <cell r="AB179">
            <v>0</v>
          </cell>
        </row>
        <row r="180">
          <cell r="H180">
            <v>2</v>
          </cell>
          <cell r="I180">
            <v>2015.63</v>
          </cell>
          <cell r="P180">
            <v>0</v>
          </cell>
          <cell r="R180">
            <v>0</v>
          </cell>
          <cell r="V180">
            <v>2</v>
          </cell>
          <cell r="W180">
            <v>4031.26</v>
          </cell>
          <cell r="X180">
            <v>4</v>
          </cell>
          <cell r="Y180">
            <v>8062.52</v>
          </cell>
          <cell r="Z180">
            <v>2</v>
          </cell>
          <cell r="AB180">
            <v>0</v>
          </cell>
        </row>
        <row r="181">
          <cell r="H181">
            <v>1</v>
          </cell>
          <cell r="I181">
            <v>70.86</v>
          </cell>
          <cell r="P181">
            <v>0</v>
          </cell>
          <cell r="R181">
            <v>0</v>
          </cell>
          <cell r="X181">
            <v>1</v>
          </cell>
          <cell r="Y181">
            <v>70.86</v>
          </cell>
          <cell r="Z181">
            <v>1</v>
          </cell>
          <cell r="AB181">
            <v>0</v>
          </cell>
        </row>
        <row r="182">
          <cell r="AB182">
            <v>0</v>
          </cell>
        </row>
        <row r="183">
          <cell r="U183">
            <v>611.3599999999999</v>
          </cell>
          <cell r="W183">
            <v>5513.97</v>
          </cell>
          <cell r="Y183">
            <v>179948.38999999998</v>
          </cell>
          <cell r="Z183">
            <v>1.0280075875008241</v>
          </cell>
          <cell r="AB183">
            <v>611.3599999999999</v>
          </cell>
        </row>
        <row r="184">
          <cell r="U184">
            <v>0</v>
          </cell>
          <cell r="W184">
            <v>0</v>
          </cell>
          <cell r="Y184">
            <v>16932.25</v>
          </cell>
          <cell r="Z184">
            <v>1</v>
          </cell>
          <cell r="AB184">
            <v>0</v>
          </cell>
        </row>
        <row r="185">
          <cell r="AB185">
            <v>0</v>
          </cell>
        </row>
        <row r="186">
          <cell r="AB186">
            <v>0</v>
          </cell>
        </row>
        <row r="187">
          <cell r="H187">
            <v>172</v>
          </cell>
          <cell r="I187">
            <v>13.76</v>
          </cell>
          <cell r="P187">
            <v>0.26104651162790699</v>
          </cell>
          <cell r="R187">
            <v>1</v>
          </cell>
          <cell r="X187">
            <v>172</v>
          </cell>
          <cell r="Y187">
            <v>2366.7199999999998</v>
          </cell>
          <cell r="Z187">
            <v>1</v>
          </cell>
          <cell r="AB187">
            <v>0</v>
          </cell>
        </row>
        <row r="188">
          <cell r="H188">
            <v>169</v>
          </cell>
          <cell r="I188">
            <v>21.02</v>
          </cell>
          <cell r="P188">
            <v>0.27426035502958579</v>
          </cell>
          <cell r="R188">
            <v>1</v>
          </cell>
          <cell r="X188">
            <v>169</v>
          </cell>
          <cell r="Y188">
            <v>3552.38</v>
          </cell>
          <cell r="Z188">
            <v>1</v>
          </cell>
          <cell r="AB188">
            <v>0</v>
          </cell>
        </row>
        <row r="189">
          <cell r="H189">
            <v>66</v>
          </cell>
          <cell r="I189">
            <v>29.91</v>
          </cell>
          <cell r="P189">
            <v>5.909090909090909E-2</v>
          </cell>
          <cell r="R189">
            <v>1</v>
          </cell>
          <cell r="X189">
            <v>66</v>
          </cell>
          <cell r="Y189">
            <v>1974.06</v>
          </cell>
          <cell r="Z189">
            <v>1</v>
          </cell>
          <cell r="AB189">
            <v>0</v>
          </cell>
        </row>
        <row r="190">
          <cell r="H190">
            <v>39</v>
          </cell>
          <cell r="I190">
            <v>46.93</v>
          </cell>
          <cell r="P190">
            <v>0.18461538461538463</v>
          </cell>
          <cell r="R190">
            <v>1</v>
          </cell>
          <cell r="X190">
            <v>39</v>
          </cell>
          <cell r="Y190">
            <v>1830.27</v>
          </cell>
          <cell r="Z190">
            <v>1</v>
          </cell>
          <cell r="AB190">
            <v>0</v>
          </cell>
        </row>
        <row r="191">
          <cell r="H191">
            <v>87</v>
          </cell>
          <cell r="I191">
            <v>82.86</v>
          </cell>
          <cell r="P191">
            <v>0</v>
          </cell>
          <cell r="R191">
            <v>1</v>
          </cell>
          <cell r="X191">
            <v>87</v>
          </cell>
          <cell r="Y191">
            <v>7208.82</v>
          </cell>
          <cell r="Z191">
            <v>1</v>
          </cell>
          <cell r="AB191">
            <v>0</v>
          </cell>
        </row>
        <row r="192">
          <cell r="AB192">
            <v>0</v>
          </cell>
        </row>
        <row r="193">
          <cell r="U193">
            <v>563.05999999999995</v>
          </cell>
          <cell r="W193">
            <v>604.97</v>
          </cell>
          <cell r="Y193">
            <v>44944.809999999983</v>
          </cell>
          <cell r="Z193">
            <v>1.0009333472893733</v>
          </cell>
          <cell r="AB193">
            <v>563.05999999999995</v>
          </cell>
        </row>
        <row r="194">
          <cell r="H194">
            <v>7</v>
          </cell>
          <cell r="I194">
            <v>111.1</v>
          </cell>
          <cell r="P194">
            <v>0</v>
          </cell>
          <cell r="R194">
            <v>0</v>
          </cell>
          <cell r="X194">
            <v>7</v>
          </cell>
          <cell r="Y194">
            <v>777.7</v>
          </cell>
          <cell r="Z194">
            <v>1</v>
          </cell>
          <cell r="AB194">
            <v>0</v>
          </cell>
        </row>
        <row r="195">
          <cell r="H195">
            <v>2</v>
          </cell>
          <cell r="I195">
            <v>87.03</v>
          </cell>
          <cell r="P195">
            <v>0</v>
          </cell>
          <cell r="R195">
            <v>0</v>
          </cell>
          <cell r="X195">
            <v>2</v>
          </cell>
          <cell r="Y195">
            <v>174.06</v>
          </cell>
          <cell r="Z195">
            <v>1</v>
          </cell>
          <cell r="AB195">
            <v>0</v>
          </cell>
        </row>
        <row r="196">
          <cell r="H196">
            <v>2</v>
          </cell>
          <cell r="I196">
            <v>99.6</v>
          </cell>
          <cell r="P196">
            <v>0</v>
          </cell>
          <cell r="R196">
            <v>0</v>
          </cell>
          <cell r="X196">
            <v>2</v>
          </cell>
          <cell r="Y196">
            <v>199.2</v>
          </cell>
          <cell r="Z196">
            <v>1</v>
          </cell>
          <cell r="AB196">
            <v>0</v>
          </cell>
        </row>
        <row r="197">
          <cell r="H197">
            <v>2</v>
          </cell>
          <cell r="I197">
            <v>1171.46</v>
          </cell>
          <cell r="P197">
            <v>0</v>
          </cell>
          <cell r="R197">
            <v>0</v>
          </cell>
          <cell r="X197">
            <v>2</v>
          </cell>
          <cell r="Y197">
            <v>2342.92</v>
          </cell>
          <cell r="Z197">
            <v>1</v>
          </cell>
          <cell r="AB197">
            <v>0</v>
          </cell>
        </row>
        <row r="198">
          <cell r="H198">
            <v>12</v>
          </cell>
          <cell r="I198">
            <v>239.06</v>
          </cell>
          <cell r="P198">
            <v>0</v>
          </cell>
          <cell r="R198">
            <v>0.58333333333333337</v>
          </cell>
          <cell r="X198">
            <v>12</v>
          </cell>
          <cell r="Y198">
            <v>2868.72</v>
          </cell>
          <cell r="Z198">
            <v>1</v>
          </cell>
          <cell r="AB198">
            <v>0</v>
          </cell>
        </row>
        <row r="199">
          <cell r="H199">
            <v>9</v>
          </cell>
          <cell r="I199">
            <v>177.15</v>
          </cell>
          <cell r="P199">
            <v>0</v>
          </cell>
          <cell r="R199">
            <v>0</v>
          </cell>
          <cell r="X199">
            <v>9</v>
          </cell>
          <cell r="Y199">
            <v>1594.35</v>
          </cell>
          <cell r="Z199">
            <v>1</v>
          </cell>
          <cell r="AB199">
            <v>0</v>
          </cell>
        </row>
        <row r="200">
          <cell r="H200">
            <v>9</v>
          </cell>
          <cell r="I200">
            <v>24.08</v>
          </cell>
          <cell r="P200">
            <v>0</v>
          </cell>
          <cell r="R200">
            <v>0</v>
          </cell>
          <cell r="X200">
            <v>9</v>
          </cell>
          <cell r="Y200">
            <v>216.72</v>
          </cell>
          <cell r="Z200">
            <v>1</v>
          </cell>
          <cell r="AB200">
            <v>0</v>
          </cell>
        </row>
        <row r="201">
          <cell r="H201">
            <v>2</v>
          </cell>
          <cell r="I201">
            <v>208</v>
          </cell>
          <cell r="P201">
            <v>0</v>
          </cell>
          <cell r="R201">
            <v>0</v>
          </cell>
          <cell r="X201">
            <v>2</v>
          </cell>
          <cell r="Y201">
            <v>416</v>
          </cell>
          <cell r="Z201">
            <v>1</v>
          </cell>
          <cell r="AB201">
            <v>0</v>
          </cell>
        </row>
        <row r="202">
          <cell r="H202">
            <v>8</v>
          </cell>
          <cell r="I202">
            <v>259.55</v>
          </cell>
          <cell r="P202">
            <v>0</v>
          </cell>
          <cell r="R202">
            <v>0</v>
          </cell>
          <cell r="X202">
            <v>8</v>
          </cell>
          <cell r="Y202">
            <v>2076.4</v>
          </cell>
          <cell r="Z202">
            <v>1</v>
          </cell>
          <cell r="AB202">
            <v>0</v>
          </cell>
        </row>
        <row r="203">
          <cell r="H203">
            <v>4</v>
          </cell>
          <cell r="I203">
            <v>248.23</v>
          </cell>
          <cell r="P203">
            <v>0</v>
          </cell>
          <cell r="R203">
            <v>0</v>
          </cell>
          <cell r="X203">
            <v>4</v>
          </cell>
          <cell r="Y203">
            <v>992.92</v>
          </cell>
          <cell r="Z203">
            <v>1</v>
          </cell>
          <cell r="AB203">
            <v>0</v>
          </cell>
        </row>
        <row r="204">
          <cell r="H204">
            <v>1</v>
          </cell>
          <cell r="I204">
            <v>1644.06</v>
          </cell>
          <cell r="P204">
            <v>0</v>
          </cell>
          <cell r="R204">
            <v>0</v>
          </cell>
          <cell r="X204">
            <v>1</v>
          </cell>
          <cell r="Y204">
            <v>1644.06</v>
          </cell>
          <cell r="Z204">
            <v>1</v>
          </cell>
          <cell r="AB204">
            <v>0</v>
          </cell>
        </row>
        <row r="205">
          <cell r="H205">
            <v>7</v>
          </cell>
          <cell r="I205">
            <v>107.4</v>
          </cell>
          <cell r="P205">
            <v>0</v>
          </cell>
          <cell r="R205">
            <v>0</v>
          </cell>
          <cell r="X205">
            <v>7</v>
          </cell>
          <cell r="Y205">
            <v>751.8</v>
          </cell>
          <cell r="Z205">
            <v>1</v>
          </cell>
          <cell r="AB205">
            <v>0</v>
          </cell>
        </row>
        <row r="206">
          <cell r="H206">
            <v>14</v>
          </cell>
          <cell r="I206">
            <v>42.01</v>
          </cell>
          <cell r="P206">
            <v>0</v>
          </cell>
          <cell r="R206">
            <v>0</v>
          </cell>
          <cell r="V206">
            <v>6</v>
          </cell>
          <cell r="W206">
            <v>252.06</v>
          </cell>
          <cell r="X206">
            <v>20</v>
          </cell>
          <cell r="Y206">
            <v>840.2</v>
          </cell>
          <cell r="Z206">
            <v>1.4285714285714286</v>
          </cell>
          <cell r="AB206">
            <v>0</v>
          </cell>
        </row>
        <row r="207">
          <cell r="H207">
            <v>5</v>
          </cell>
          <cell r="I207">
            <v>73.17</v>
          </cell>
          <cell r="P207">
            <v>0</v>
          </cell>
          <cell r="R207">
            <v>0</v>
          </cell>
          <cell r="T207">
            <v>1</v>
          </cell>
          <cell r="U207">
            <v>73.17</v>
          </cell>
          <cell r="X207">
            <v>4</v>
          </cell>
          <cell r="Y207">
            <v>292.68</v>
          </cell>
          <cell r="Z207">
            <v>0.79999999999999993</v>
          </cell>
          <cell r="AB207">
            <v>73.17</v>
          </cell>
        </row>
        <row r="208">
          <cell r="H208">
            <v>3</v>
          </cell>
          <cell r="I208">
            <v>127.11</v>
          </cell>
          <cell r="P208">
            <v>0</v>
          </cell>
          <cell r="R208">
            <v>0</v>
          </cell>
          <cell r="X208">
            <v>3</v>
          </cell>
          <cell r="Y208">
            <v>381.33</v>
          </cell>
          <cell r="Z208">
            <v>1</v>
          </cell>
          <cell r="AB208">
            <v>0</v>
          </cell>
        </row>
        <row r="209">
          <cell r="H209">
            <v>4</v>
          </cell>
          <cell r="I209">
            <v>122.75</v>
          </cell>
          <cell r="P209">
            <v>0</v>
          </cell>
          <cell r="R209">
            <v>0</v>
          </cell>
          <cell r="V209">
            <v>1</v>
          </cell>
          <cell r="W209">
            <v>122.75</v>
          </cell>
          <cell r="X209">
            <v>5</v>
          </cell>
          <cell r="Y209">
            <v>613.75</v>
          </cell>
          <cell r="Z209">
            <v>1.25</v>
          </cell>
          <cell r="AB209">
            <v>0</v>
          </cell>
        </row>
        <row r="210">
          <cell r="H210">
            <v>7</v>
          </cell>
          <cell r="I210">
            <v>203.95</v>
          </cell>
          <cell r="P210">
            <v>0</v>
          </cell>
          <cell r="R210">
            <v>0</v>
          </cell>
          <cell r="X210">
            <v>7</v>
          </cell>
          <cell r="Y210">
            <v>1427.65</v>
          </cell>
          <cell r="Z210">
            <v>1</v>
          </cell>
          <cell r="AB210">
            <v>0</v>
          </cell>
        </row>
        <row r="211">
          <cell r="H211">
            <v>6</v>
          </cell>
          <cell r="I211">
            <v>42.01</v>
          </cell>
          <cell r="P211">
            <v>0</v>
          </cell>
          <cell r="R211">
            <v>0</v>
          </cell>
          <cell r="T211">
            <v>1</v>
          </cell>
          <cell r="U211">
            <v>42.01</v>
          </cell>
          <cell r="X211">
            <v>5</v>
          </cell>
          <cell r="Y211">
            <v>210.05</v>
          </cell>
          <cell r="Z211">
            <v>0.83333333333333337</v>
          </cell>
          <cell r="AB211">
            <v>42.01</v>
          </cell>
        </row>
        <row r="212">
          <cell r="H212">
            <v>11</v>
          </cell>
          <cell r="I212">
            <v>20.39</v>
          </cell>
          <cell r="P212">
            <v>0</v>
          </cell>
          <cell r="R212">
            <v>0</v>
          </cell>
          <cell r="T212">
            <v>2</v>
          </cell>
          <cell r="U212">
            <v>40.78</v>
          </cell>
          <cell r="X212">
            <v>9</v>
          </cell>
          <cell r="Y212">
            <v>183.51</v>
          </cell>
          <cell r="Z212">
            <v>0.81818181818181812</v>
          </cell>
          <cell r="AB212">
            <v>40.78</v>
          </cell>
        </row>
        <row r="213">
          <cell r="H213">
            <v>1</v>
          </cell>
          <cell r="I213">
            <v>52.96</v>
          </cell>
          <cell r="P213">
            <v>0</v>
          </cell>
          <cell r="R213">
            <v>0</v>
          </cell>
          <cell r="X213">
            <v>1</v>
          </cell>
          <cell r="Y213">
            <v>52.96</v>
          </cell>
          <cell r="Z213">
            <v>1</v>
          </cell>
          <cell r="AB213">
            <v>0</v>
          </cell>
        </row>
        <row r="214">
          <cell r="H214">
            <v>19</v>
          </cell>
          <cell r="I214">
            <v>65.900000000000006</v>
          </cell>
          <cell r="P214">
            <v>0</v>
          </cell>
          <cell r="R214">
            <v>1</v>
          </cell>
          <cell r="X214">
            <v>19</v>
          </cell>
          <cell r="Y214">
            <v>1252.0999999999999</v>
          </cell>
          <cell r="Z214">
            <v>1</v>
          </cell>
          <cell r="AB214">
            <v>0</v>
          </cell>
        </row>
        <row r="215">
          <cell r="H215">
            <v>5</v>
          </cell>
          <cell r="I215">
            <v>34.56</v>
          </cell>
          <cell r="P215">
            <v>0</v>
          </cell>
          <cell r="R215">
            <v>1</v>
          </cell>
          <cell r="X215">
            <v>5</v>
          </cell>
          <cell r="Y215">
            <v>172.8</v>
          </cell>
          <cell r="Z215">
            <v>1</v>
          </cell>
          <cell r="AB215">
            <v>0</v>
          </cell>
        </row>
        <row r="216">
          <cell r="H216">
            <v>8</v>
          </cell>
          <cell r="I216">
            <v>44.16</v>
          </cell>
          <cell r="P216">
            <v>0</v>
          </cell>
          <cell r="R216">
            <v>1</v>
          </cell>
          <cell r="X216">
            <v>8</v>
          </cell>
          <cell r="Y216">
            <v>353.28</v>
          </cell>
          <cell r="Z216">
            <v>1</v>
          </cell>
          <cell r="AB216">
            <v>0</v>
          </cell>
        </row>
        <row r="217">
          <cell r="H217">
            <v>6</v>
          </cell>
          <cell r="I217">
            <v>74.069999999999993</v>
          </cell>
          <cell r="P217">
            <v>0</v>
          </cell>
          <cell r="R217">
            <v>1</v>
          </cell>
          <cell r="X217">
            <v>6</v>
          </cell>
          <cell r="Y217">
            <v>444.42</v>
          </cell>
          <cell r="Z217">
            <v>1</v>
          </cell>
          <cell r="AB217">
            <v>0</v>
          </cell>
        </row>
        <row r="218">
          <cell r="H218">
            <v>5</v>
          </cell>
          <cell r="I218">
            <v>345.16</v>
          </cell>
          <cell r="P218">
            <v>0</v>
          </cell>
          <cell r="R218">
            <v>1</v>
          </cell>
          <cell r="X218">
            <v>5</v>
          </cell>
          <cell r="Y218">
            <v>1725.8</v>
          </cell>
          <cell r="Z218">
            <v>1</v>
          </cell>
          <cell r="AB218">
            <v>0</v>
          </cell>
        </row>
        <row r="219">
          <cell r="H219">
            <v>39</v>
          </cell>
          <cell r="I219">
            <v>66.75</v>
          </cell>
          <cell r="P219">
            <v>0</v>
          </cell>
          <cell r="R219">
            <v>1</v>
          </cell>
          <cell r="X219">
            <v>39</v>
          </cell>
          <cell r="Y219">
            <v>2603.25</v>
          </cell>
          <cell r="Z219">
            <v>1</v>
          </cell>
          <cell r="AB219">
            <v>0</v>
          </cell>
        </row>
        <row r="220">
          <cell r="H220">
            <v>10</v>
          </cell>
          <cell r="I220">
            <v>77.39</v>
          </cell>
          <cell r="P220">
            <v>0</v>
          </cell>
          <cell r="R220">
            <v>1</v>
          </cell>
          <cell r="X220">
            <v>10</v>
          </cell>
          <cell r="Y220">
            <v>773.9</v>
          </cell>
          <cell r="Z220">
            <v>1</v>
          </cell>
          <cell r="AB220">
            <v>0</v>
          </cell>
        </row>
        <row r="221">
          <cell r="H221">
            <v>12</v>
          </cell>
          <cell r="I221">
            <v>125.42</v>
          </cell>
          <cell r="P221">
            <v>0</v>
          </cell>
          <cell r="R221">
            <v>1</v>
          </cell>
          <cell r="X221">
            <v>12</v>
          </cell>
          <cell r="Y221">
            <v>1505.04</v>
          </cell>
          <cell r="Z221">
            <v>1</v>
          </cell>
          <cell r="AB221">
            <v>0</v>
          </cell>
        </row>
        <row r="222">
          <cell r="H222">
            <v>11</v>
          </cell>
          <cell r="I222">
            <v>28.13</v>
          </cell>
          <cell r="P222">
            <v>0</v>
          </cell>
          <cell r="R222">
            <v>0</v>
          </cell>
          <cell r="X222">
            <v>11</v>
          </cell>
          <cell r="Y222">
            <v>309.43</v>
          </cell>
          <cell r="Z222">
            <v>1</v>
          </cell>
          <cell r="AB222">
            <v>0</v>
          </cell>
        </row>
        <row r="223">
          <cell r="H223">
            <v>7</v>
          </cell>
          <cell r="I223">
            <v>28.13</v>
          </cell>
          <cell r="P223">
            <v>0</v>
          </cell>
          <cell r="R223">
            <v>0</v>
          </cell>
          <cell r="X223">
            <v>7</v>
          </cell>
          <cell r="Y223">
            <v>196.91</v>
          </cell>
          <cell r="Z223">
            <v>1</v>
          </cell>
          <cell r="AB223">
            <v>0</v>
          </cell>
        </row>
        <row r="224">
          <cell r="H224">
            <v>12</v>
          </cell>
          <cell r="I224">
            <v>67.849999999999994</v>
          </cell>
          <cell r="P224">
            <v>0</v>
          </cell>
          <cell r="R224">
            <v>0</v>
          </cell>
          <cell r="X224">
            <v>12</v>
          </cell>
          <cell r="Y224">
            <v>814.2</v>
          </cell>
          <cell r="Z224">
            <v>1</v>
          </cell>
          <cell r="AB224">
            <v>0</v>
          </cell>
        </row>
        <row r="225">
          <cell r="H225">
            <v>4</v>
          </cell>
          <cell r="I225">
            <v>67.849999999999994</v>
          </cell>
          <cell r="P225">
            <v>0</v>
          </cell>
          <cell r="R225">
            <v>0</v>
          </cell>
          <cell r="T225">
            <v>2</v>
          </cell>
          <cell r="U225">
            <v>135.69999999999999</v>
          </cell>
          <cell r="X225">
            <v>2</v>
          </cell>
          <cell r="Y225">
            <v>135.69999999999999</v>
          </cell>
          <cell r="Z225">
            <v>0.5</v>
          </cell>
          <cell r="AB225">
            <v>135.69999999999999</v>
          </cell>
        </row>
        <row r="226">
          <cell r="H226">
            <v>4</v>
          </cell>
          <cell r="I226">
            <v>67.849999999999994</v>
          </cell>
          <cell r="P226">
            <v>0</v>
          </cell>
          <cell r="R226">
            <v>0</v>
          </cell>
          <cell r="T226">
            <v>4</v>
          </cell>
          <cell r="U226">
            <v>271.39999999999998</v>
          </cell>
          <cell r="X226">
            <v>0</v>
          </cell>
          <cell r="Y226">
            <v>0</v>
          </cell>
          <cell r="Z226">
            <v>0</v>
          </cell>
          <cell r="AB226">
            <v>271.39999999999998</v>
          </cell>
        </row>
        <row r="227">
          <cell r="H227">
            <v>5</v>
          </cell>
          <cell r="I227">
            <v>38.36</v>
          </cell>
          <cell r="P227">
            <v>0</v>
          </cell>
          <cell r="R227">
            <v>0</v>
          </cell>
          <cell r="V227">
            <v>6</v>
          </cell>
          <cell r="W227">
            <v>230.16</v>
          </cell>
          <cell r="X227">
            <v>11</v>
          </cell>
          <cell r="Y227">
            <v>421.96</v>
          </cell>
          <cell r="Z227">
            <v>2.1999999999999997</v>
          </cell>
          <cell r="AB227">
            <v>0</v>
          </cell>
        </row>
        <row r="228">
          <cell r="H228">
            <v>23</v>
          </cell>
          <cell r="I228">
            <v>196.65</v>
          </cell>
          <cell r="P228">
            <v>0</v>
          </cell>
          <cell r="R228">
            <v>0</v>
          </cell>
          <cell r="X228">
            <v>23</v>
          </cell>
          <cell r="Y228">
            <v>4522.95</v>
          </cell>
          <cell r="Z228">
            <v>1</v>
          </cell>
          <cell r="AB228">
            <v>0</v>
          </cell>
        </row>
        <row r="229">
          <cell r="H229">
            <v>1</v>
          </cell>
          <cell r="I229">
            <v>5300.73</v>
          </cell>
          <cell r="P229">
            <v>0</v>
          </cell>
          <cell r="R229">
            <v>1</v>
          </cell>
          <cell r="X229">
            <v>1</v>
          </cell>
          <cell r="Y229">
            <v>5300.73</v>
          </cell>
          <cell r="Z229">
            <v>1</v>
          </cell>
          <cell r="AB229">
            <v>0</v>
          </cell>
        </row>
        <row r="230">
          <cell r="H230">
            <v>23</v>
          </cell>
          <cell r="I230">
            <v>7.19</v>
          </cell>
          <cell r="P230">
            <v>0</v>
          </cell>
          <cell r="R230">
            <v>1</v>
          </cell>
          <cell r="X230">
            <v>23</v>
          </cell>
          <cell r="Y230">
            <v>165.37</v>
          </cell>
          <cell r="Z230">
            <v>1</v>
          </cell>
          <cell r="AB230">
            <v>0</v>
          </cell>
        </row>
        <row r="231">
          <cell r="H231">
            <v>1</v>
          </cell>
          <cell r="I231">
            <v>77.06</v>
          </cell>
          <cell r="P231">
            <v>0</v>
          </cell>
          <cell r="R231">
            <v>0</v>
          </cell>
          <cell r="X231">
            <v>1</v>
          </cell>
          <cell r="Y231">
            <v>77.06</v>
          </cell>
          <cell r="Z231">
            <v>1</v>
          </cell>
          <cell r="AB231">
            <v>0</v>
          </cell>
        </row>
        <row r="232">
          <cell r="H232">
            <v>1</v>
          </cell>
          <cell r="I232">
            <v>52.49</v>
          </cell>
          <cell r="P232">
            <v>0</v>
          </cell>
          <cell r="R232">
            <v>0</v>
          </cell>
          <cell r="X232">
            <v>1</v>
          </cell>
          <cell r="Y232">
            <v>52.49</v>
          </cell>
          <cell r="Z232">
            <v>1</v>
          </cell>
          <cell r="AB232">
            <v>0</v>
          </cell>
        </row>
        <row r="233">
          <cell r="H233">
            <v>9</v>
          </cell>
          <cell r="I233">
            <v>47.85</v>
          </cell>
          <cell r="P233">
            <v>0</v>
          </cell>
          <cell r="R233">
            <v>1</v>
          </cell>
          <cell r="X233">
            <v>9</v>
          </cell>
          <cell r="Y233">
            <v>430.65</v>
          </cell>
          <cell r="Z233">
            <v>1</v>
          </cell>
          <cell r="AB233">
            <v>0</v>
          </cell>
        </row>
        <row r="234">
          <cell r="H234">
            <v>1</v>
          </cell>
          <cell r="I234">
            <v>378.88</v>
          </cell>
          <cell r="P234">
            <v>0</v>
          </cell>
          <cell r="R234">
            <v>0</v>
          </cell>
          <cell r="X234">
            <v>1</v>
          </cell>
          <cell r="Y234">
            <v>378.88</v>
          </cell>
          <cell r="Z234">
            <v>1</v>
          </cell>
          <cell r="AB234">
            <v>0</v>
          </cell>
        </row>
        <row r="235">
          <cell r="H235">
            <v>9</v>
          </cell>
          <cell r="I235">
            <v>100.07</v>
          </cell>
          <cell r="P235">
            <v>0</v>
          </cell>
          <cell r="R235">
            <v>1</v>
          </cell>
          <cell r="X235">
            <v>9</v>
          </cell>
          <cell r="Y235">
            <v>900.63</v>
          </cell>
          <cell r="Z235">
            <v>1</v>
          </cell>
          <cell r="AB235">
            <v>0</v>
          </cell>
        </row>
        <row r="236">
          <cell r="H236">
            <v>2</v>
          </cell>
          <cell r="I236">
            <v>343.33</v>
          </cell>
          <cell r="P236">
            <v>0</v>
          </cell>
          <cell r="R236">
            <v>1</v>
          </cell>
          <cell r="X236">
            <v>2</v>
          </cell>
          <cell r="Y236">
            <v>686.66</v>
          </cell>
          <cell r="Z236">
            <v>1</v>
          </cell>
          <cell r="AB236">
            <v>0</v>
          </cell>
        </row>
        <row r="237">
          <cell r="H237">
            <v>6</v>
          </cell>
          <cell r="I237">
            <v>1.35</v>
          </cell>
          <cell r="P237">
            <v>0</v>
          </cell>
          <cell r="R237">
            <v>0</v>
          </cell>
          <cell r="X237">
            <v>6</v>
          </cell>
          <cell r="Y237">
            <v>8.1</v>
          </cell>
          <cell r="Z237">
            <v>1</v>
          </cell>
          <cell r="AB237">
            <v>0</v>
          </cell>
        </row>
        <row r="238">
          <cell r="H238">
            <v>13</v>
          </cell>
          <cell r="I238">
            <v>1.31</v>
          </cell>
          <cell r="P238">
            <v>0</v>
          </cell>
          <cell r="R238">
            <v>0</v>
          </cell>
          <cell r="X238">
            <v>13</v>
          </cell>
          <cell r="Y238">
            <v>17.03</v>
          </cell>
          <cell r="Z238">
            <v>1</v>
          </cell>
          <cell r="AB238">
            <v>0</v>
          </cell>
        </row>
        <row r="239">
          <cell r="H239">
            <v>13</v>
          </cell>
          <cell r="I239">
            <v>1.43</v>
          </cell>
          <cell r="P239">
            <v>0</v>
          </cell>
          <cell r="R239">
            <v>0</v>
          </cell>
          <cell r="X239">
            <v>13</v>
          </cell>
          <cell r="Y239">
            <v>18.59</v>
          </cell>
          <cell r="Z239">
            <v>1</v>
          </cell>
          <cell r="AB239">
            <v>0</v>
          </cell>
        </row>
        <row r="240">
          <cell r="H240">
            <v>20</v>
          </cell>
          <cell r="I240">
            <v>1.88</v>
          </cell>
          <cell r="P240">
            <v>0</v>
          </cell>
          <cell r="R240">
            <v>0</v>
          </cell>
          <cell r="X240">
            <v>20</v>
          </cell>
          <cell r="Y240">
            <v>37.6</v>
          </cell>
          <cell r="Z240">
            <v>1</v>
          </cell>
          <cell r="AB240">
            <v>0</v>
          </cell>
        </row>
        <row r="241">
          <cell r="H241">
            <v>8</v>
          </cell>
          <cell r="I241">
            <v>1.92</v>
          </cell>
          <cell r="P241">
            <v>0</v>
          </cell>
          <cell r="R241">
            <v>0</v>
          </cell>
          <cell r="X241">
            <v>8</v>
          </cell>
          <cell r="Y241">
            <v>15.36</v>
          </cell>
          <cell r="Z241">
            <v>1</v>
          </cell>
          <cell r="AB241">
            <v>0</v>
          </cell>
        </row>
        <row r="242">
          <cell r="H242">
            <v>32</v>
          </cell>
          <cell r="I242">
            <v>36.200000000000003</v>
          </cell>
          <cell r="P242">
            <v>0</v>
          </cell>
          <cell r="R242">
            <v>0</v>
          </cell>
          <cell r="X242">
            <v>32</v>
          </cell>
          <cell r="Y242">
            <v>1158.4000000000001</v>
          </cell>
          <cell r="Z242">
            <v>1</v>
          </cell>
          <cell r="AB242">
            <v>0</v>
          </cell>
        </row>
        <row r="243">
          <cell r="H243">
            <v>30</v>
          </cell>
          <cell r="I243">
            <v>39.74</v>
          </cell>
          <cell r="P243">
            <v>0</v>
          </cell>
          <cell r="R243">
            <v>0</v>
          </cell>
          <cell r="X243">
            <v>30</v>
          </cell>
          <cell r="Y243">
            <v>1192.2</v>
          </cell>
          <cell r="Z243">
            <v>1</v>
          </cell>
          <cell r="AB243">
            <v>0</v>
          </cell>
        </row>
        <row r="244">
          <cell r="H244">
            <v>23</v>
          </cell>
          <cell r="I244">
            <v>31.93</v>
          </cell>
          <cell r="P244">
            <v>0</v>
          </cell>
          <cell r="R244">
            <v>0</v>
          </cell>
          <cell r="X244">
            <v>23</v>
          </cell>
          <cell r="Y244">
            <v>734.39</v>
          </cell>
          <cell r="Z244">
            <v>1</v>
          </cell>
          <cell r="AB244">
            <v>0</v>
          </cell>
        </row>
        <row r="245">
          <cell r="H245">
            <v>17</v>
          </cell>
          <cell r="I245">
            <v>28.35</v>
          </cell>
          <cell r="P245">
            <v>0</v>
          </cell>
          <cell r="R245">
            <v>0</v>
          </cell>
          <cell r="X245">
            <v>17</v>
          </cell>
          <cell r="Y245">
            <v>481.95</v>
          </cell>
          <cell r="Z245">
            <v>1</v>
          </cell>
          <cell r="AB245">
            <v>0</v>
          </cell>
        </row>
        <row r="246">
          <cell r="AB246">
            <v>0</v>
          </cell>
        </row>
        <row r="247">
          <cell r="U247">
            <v>0</v>
          </cell>
          <cell r="W247">
            <v>0</v>
          </cell>
          <cell r="Y247">
            <v>4368.1100000000006</v>
          </cell>
          <cell r="Z247">
            <v>1</v>
          </cell>
          <cell r="AB247">
            <v>0</v>
          </cell>
        </row>
        <row r="248">
          <cell r="H248">
            <v>2</v>
          </cell>
          <cell r="I248">
            <v>2081.54</v>
          </cell>
          <cell r="P248">
            <v>0</v>
          </cell>
          <cell r="R248">
            <v>0</v>
          </cell>
          <cell r="X248">
            <v>2</v>
          </cell>
          <cell r="Y248">
            <v>4163.08</v>
          </cell>
          <cell r="Z248">
            <v>1</v>
          </cell>
          <cell r="AB248">
            <v>0</v>
          </cell>
        </row>
        <row r="249">
          <cell r="H249">
            <v>1</v>
          </cell>
          <cell r="I249">
            <v>65.39</v>
          </cell>
          <cell r="P249">
            <v>0</v>
          </cell>
          <cell r="R249">
            <v>0</v>
          </cell>
          <cell r="X249">
            <v>1</v>
          </cell>
          <cell r="Y249">
            <v>65.39</v>
          </cell>
          <cell r="Z249">
            <v>1</v>
          </cell>
          <cell r="AB249">
            <v>0</v>
          </cell>
        </row>
        <row r="250">
          <cell r="H250">
            <v>2</v>
          </cell>
          <cell r="I250">
            <v>69.819999999999993</v>
          </cell>
          <cell r="P250">
            <v>0</v>
          </cell>
          <cell r="R250">
            <v>0</v>
          </cell>
          <cell r="X250">
            <v>2</v>
          </cell>
          <cell r="Y250">
            <v>139.63999999999999</v>
          </cell>
          <cell r="Z250">
            <v>1</v>
          </cell>
          <cell r="AB250">
            <v>0</v>
          </cell>
        </row>
        <row r="251">
          <cell r="AB251">
            <v>0</v>
          </cell>
        </row>
        <row r="252">
          <cell r="U252">
            <v>0</v>
          </cell>
          <cell r="W252">
            <v>0</v>
          </cell>
          <cell r="Y252">
            <v>4260.8899999999994</v>
          </cell>
          <cell r="Z252">
            <v>1</v>
          </cell>
          <cell r="AB252">
            <v>0</v>
          </cell>
        </row>
        <row r="253">
          <cell r="AB253">
            <v>0</v>
          </cell>
        </row>
        <row r="254">
          <cell r="H254">
            <v>18</v>
          </cell>
          <cell r="I254">
            <v>20.39</v>
          </cell>
          <cell r="P254">
            <v>0</v>
          </cell>
          <cell r="R254">
            <v>0</v>
          </cell>
          <cell r="X254">
            <v>18</v>
          </cell>
          <cell r="Y254">
            <v>367.02</v>
          </cell>
          <cell r="Z254">
            <v>1</v>
          </cell>
          <cell r="AB254">
            <v>0</v>
          </cell>
        </row>
        <row r="255">
          <cell r="H255">
            <v>24</v>
          </cell>
          <cell r="I255">
            <v>24.07</v>
          </cell>
          <cell r="P255">
            <v>0</v>
          </cell>
          <cell r="R255">
            <v>0</v>
          </cell>
          <cell r="X255">
            <v>24</v>
          </cell>
          <cell r="Y255">
            <v>577.67999999999995</v>
          </cell>
          <cell r="Z255">
            <v>1</v>
          </cell>
          <cell r="AB255">
            <v>0</v>
          </cell>
        </row>
        <row r="256">
          <cell r="H256">
            <v>36</v>
          </cell>
          <cell r="I256">
            <v>38.369999999999997</v>
          </cell>
          <cell r="P256">
            <v>0</v>
          </cell>
          <cell r="R256">
            <v>0</v>
          </cell>
          <cell r="X256">
            <v>36</v>
          </cell>
          <cell r="Y256">
            <v>1381.32</v>
          </cell>
          <cell r="Z256">
            <v>1</v>
          </cell>
          <cell r="AB256">
            <v>0</v>
          </cell>
        </row>
        <row r="257">
          <cell r="H257">
            <v>12</v>
          </cell>
          <cell r="I257">
            <v>74.98</v>
          </cell>
          <cell r="P257">
            <v>0</v>
          </cell>
          <cell r="R257">
            <v>0</v>
          </cell>
          <cell r="X257">
            <v>12</v>
          </cell>
          <cell r="Y257">
            <v>899.76</v>
          </cell>
          <cell r="Z257">
            <v>1</v>
          </cell>
          <cell r="AB257">
            <v>0</v>
          </cell>
        </row>
        <row r="258">
          <cell r="I258" t="str">
            <v xml:space="preserve">                          -   </v>
          </cell>
          <cell r="AB258">
            <v>0</v>
          </cell>
        </row>
        <row r="259">
          <cell r="H259">
            <v>2</v>
          </cell>
          <cell r="I259">
            <v>4.7</v>
          </cell>
          <cell r="P259">
            <v>0</v>
          </cell>
          <cell r="R259">
            <v>0</v>
          </cell>
          <cell r="X259">
            <v>2</v>
          </cell>
          <cell r="Y259">
            <v>9.4</v>
          </cell>
          <cell r="Z259">
            <v>1</v>
          </cell>
          <cell r="AB259">
            <v>0</v>
          </cell>
        </row>
        <row r="260">
          <cell r="I260" t="str">
            <v xml:space="preserve">                          -   </v>
          </cell>
          <cell r="AB260">
            <v>0</v>
          </cell>
        </row>
        <row r="261">
          <cell r="H261">
            <v>4</v>
          </cell>
          <cell r="I261">
            <v>5.86</v>
          </cell>
          <cell r="P261">
            <v>0</v>
          </cell>
          <cell r="R261">
            <v>0</v>
          </cell>
          <cell r="X261">
            <v>4</v>
          </cell>
          <cell r="Y261">
            <v>23.44</v>
          </cell>
          <cell r="Z261">
            <v>1</v>
          </cell>
          <cell r="AB261">
            <v>0</v>
          </cell>
        </row>
        <row r="262">
          <cell r="H262">
            <v>4</v>
          </cell>
          <cell r="I262">
            <v>17.440000000000001</v>
          </cell>
          <cell r="P262">
            <v>0</v>
          </cell>
          <cell r="R262">
            <v>0</v>
          </cell>
          <cell r="X262">
            <v>4</v>
          </cell>
          <cell r="Y262">
            <v>69.760000000000005</v>
          </cell>
          <cell r="Z262">
            <v>1</v>
          </cell>
          <cell r="AB262">
            <v>0</v>
          </cell>
        </row>
        <row r="263">
          <cell r="H263">
            <v>15</v>
          </cell>
          <cell r="I263">
            <v>7.95</v>
          </cell>
          <cell r="P263">
            <v>0</v>
          </cell>
          <cell r="R263">
            <v>0</v>
          </cell>
          <cell r="X263">
            <v>15</v>
          </cell>
          <cell r="Y263">
            <v>119.25</v>
          </cell>
          <cell r="Z263">
            <v>1</v>
          </cell>
          <cell r="AB263">
            <v>0</v>
          </cell>
        </row>
        <row r="264">
          <cell r="H264">
            <v>8</v>
          </cell>
          <cell r="I264">
            <v>69.84</v>
          </cell>
          <cell r="P264">
            <v>0</v>
          </cell>
          <cell r="R264">
            <v>0</v>
          </cell>
          <cell r="X264">
            <v>8</v>
          </cell>
          <cell r="Y264">
            <v>558.72</v>
          </cell>
          <cell r="Z264">
            <v>1</v>
          </cell>
          <cell r="AB264">
            <v>0</v>
          </cell>
        </row>
        <row r="265">
          <cell r="I265" t="str">
            <v xml:space="preserve">                          -   </v>
          </cell>
          <cell r="AB265">
            <v>0</v>
          </cell>
        </row>
        <row r="266">
          <cell r="H266">
            <v>1</v>
          </cell>
          <cell r="I266">
            <v>6.56</v>
          </cell>
          <cell r="P266">
            <v>0</v>
          </cell>
          <cell r="R266">
            <v>0</v>
          </cell>
          <cell r="X266">
            <v>1</v>
          </cell>
          <cell r="Y266">
            <v>6.56</v>
          </cell>
          <cell r="Z266">
            <v>1</v>
          </cell>
          <cell r="AB266">
            <v>0</v>
          </cell>
        </row>
        <row r="267">
          <cell r="H267">
            <v>1</v>
          </cell>
          <cell r="I267">
            <v>12.49</v>
          </cell>
          <cell r="P267">
            <v>0</v>
          </cell>
          <cell r="R267">
            <v>0</v>
          </cell>
          <cell r="X267">
            <v>1</v>
          </cell>
          <cell r="Y267">
            <v>12.49</v>
          </cell>
          <cell r="Z267">
            <v>1</v>
          </cell>
          <cell r="AB267">
            <v>0</v>
          </cell>
        </row>
        <row r="268">
          <cell r="I268" t="str">
            <v xml:space="preserve">                          -   </v>
          </cell>
          <cell r="AB268">
            <v>0</v>
          </cell>
        </row>
        <row r="269">
          <cell r="H269">
            <v>1</v>
          </cell>
          <cell r="I269">
            <v>19.46</v>
          </cell>
          <cell r="P269">
            <v>0</v>
          </cell>
          <cell r="R269">
            <v>0</v>
          </cell>
          <cell r="X269">
            <v>1</v>
          </cell>
          <cell r="Y269">
            <v>19.46</v>
          </cell>
          <cell r="Z269">
            <v>1</v>
          </cell>
          <cell r="AB269">
            <v>0</v>
          </cell>
        </row>
        <row r="270">
          <cell r="H270">
            <v>2</v>
          </cell>
          <cell r="I270">
            <v>11.05</v>
          </cell>
          <cell r="P270">
            <v>0</v>
          </cell>
          <cell r="R270">
            <v>0</v>
          </cell>
          <cell r="X270">
            <v>2</v>
          </cell>
          <cell r="Y270">
            <v>22.1</v>
          </cell>
          <cell r="Z270">
            <v>1</v>
          </cell>
          <cell r="AB270">
            <v>0</v>
          </cell>
        </row>
        <row r="271">
          <cell r="H271">
            <v>1</v>
          </cell>
          <cell r="I271">
            <v>21.53</v>
          </cell>
          <cell r="P271">
            <v>0</v>
          </cell>
          <cell r="R271">
            <v>0</v>
          </cell>
          <cell r="X271">
            <v>1</v>
          </cell>
          <cell r="Y271">
            <v>21.53</v>
          </cell>
          <cell r="Z271">
            <v>1</v>
          </cell>
          <cell r="AB271">
            <v>0</v>
          </cell>
        </row>
        <row r="272">
          <cell r="I272" t="str">
            <v xml:space="preserve">                          -   </v>
          </cell>
          <cell r="AB272">
            <v>0</v>
          </cell>
        </row>
        <row r="273">
          <cell r="H273">
            <v>4</v>
          </cell>
          <cell r="I273">
            <v>21.24</v>
          </cell>
          <cell r="P273">
            <v>0</v>
          </cell>
          <cell r="R273">
            <v>0</v>
          </cell>
          <cell r="X273">
            <v>4</v>
          </cell>
          <cell r="Y273">
            <v>84.96</v>
          </cell>
          <cell r="Z273">
            <v>1</v>
          </cell>
          <cell r="AB273">
            <v>0</v>
          </cell>
        </row>
        <row r="274">
          <cell r="H274">
            <v>2</v>
          </cell>
          <cell r="I274">
            <v>37.950000000000003</v>
          </cell>
          <cell r="P274">
            <v>0</v>
          </cell>
          <cell r="R274">
            <v>0</v>
          </cell>
          <cell r="X274">
            <v>2</v>
          </cell>
          <cell r="Y274">
            <v>75.900000000000006</v>
          </cell>
          <cell r="Z274">
            <v>1</v>
          </cell>
          <cell r="AB274">
            <v>0</v>
          </cell>
        </row>
        <row r="275">
          <cell r="I275" t="str">
            <v xml:space="preserve">                          -   </v>
          </cell>
          <cell r="AB275">
            <v>0</v>
          </cell>
        </row>
        <row r="276">
          <cell r="H276">
            <v>2</v>
          </cell>
          <cell r="I276">
            <v>5.77</v>
          </cell>
          <cell r="P276">
            <v>0</v>
          </cell>
          <cell r="R276">
            <v>0</v>
          </cell>
          <cell r="X276">
            <v>2</v>
          </cell>
          <cell r="Y276">
            <v>11.54</v>
          </cell>
          <cell r="Z276">
            <v>1</v>
          </cell>
          <cell r="AB276">
            <v>0</v>
          </cell>
        </row>
        <row r="277">
          <cell r="AB277">
            <v>0</v>
          </cell>
        </row>
        <row r="278">
          <cell r="U278">
            <v>0</v>
          </cell>
          <cell r="W278">
            <v>0</v>
          </cell>
          <cell r="Y278">
            <v>41503.599999999999</v>
          </cell>
          <cell r="Z278">
            <v>1</v>
          </cell>
          <cell r="AB278">
            <v>0</v>
          </cell>
        </row>
        <row r="279">
          <cell r="AB279">
            <v>0</v>
          </cell>
        </row>
        <row r="280">
          <cell r="AB280">
            <v>0</v>
          </cell>
        </row>
        <row r="281">
          <cell r="H281">
            <v>15.5</v>
          </cell>
          <cell r="I281">
            <v>42.08</v>
          </cell>
          <cell r="P281">
            <v>0</v>
          </cell>
          <cell r="R281">
            <v>1</v>
          </cell>
          <cell r="X281">
            <v>15.5</v>
          </cell>
          <cell r="Y281">
            <v>652.24</v>
          </cell>
          <cell r="Z281">
            <v>1</v>
          </cell>
          <cell r="AB281">
            <v>0</v>
          </cell>
        </row>
        <row r="282">
          <cell r="H282">
            <v>127.6</v>
          </cell>
          <cell r="I282">
            <v>83.92</v>
          </cell>
          <cell r="P282">
            <v>0.30000000000000004</v>
          </cell>
          <cell r="R282">
            <v>1</v>
          </cell>
          <cell r="X282">
            <v>127.6</v>
          </cell>
          <cell r="Y282">
            <v>10708.19</v>
          </cell>
          <cell r="Z282">
            <v>1</v>
          </cell>
          <cell r="AB282">
            <v>0</v>
          </cell>
        </row>
        <row r="283">
          <cell r="H283">
            <v>18</v>
          </cell>
          <cell r="I283">
            <v>114.99</v>
          </cell>
          <cell r="P283">
            <v>0</v>
          </cell>
          <cell r="R283">
            <v>1</v>
          </cell>
          <cell r="X283">
            <v>18</v>
          </cell>
          <cell r="Y283">
            <v>2069.8200000000002</v>
          </cell>
          <cell r="Z283">
            <v>1</v>
          </cell>
          <cell r="AB283">
            <v>0</v>
          </cell>
        </row>
        <row r="284">
          <cell r="H284">
            <v>28.7</v>
          </cell>
          <cell r="I284">
            <v>194.21</v>
          </cell>
          <cell r="P284">
            <v>0</v>
          </cell>
          <cell r="R284">
            <v>1</v>
          </cell>
          <cell r="X284">
            <v>28.7</v>
          </cell>
          <cell r="Y284">
            <v>5573.82</v>
          </cell>
          <cell r="Z284">
            <v>1</v>
          </cell>
          <cell r="AB284">
            <v>0</v>
          </cell>
        </row>
        <row r="285">
          <cell r="H285">
            <v>34.9</v>
          </cell>
          <cell r="I285">
            <v>294.29000000000002</v>
          </cell>
          <cell r="P285">
            <v>0</v>
          </cell>
          <cell r="R285">
            <v>1</v>
          </cell>
          <cell r="X285">
            <v>34.9</v>
          </cell>
          <cell r="Y285">
            <v>10270.719999999999</v>
          </cell>
          <cell r="Z285">
            <v>1</v>
          </cell>
          <cell r="AB285">
            <v>0</v>
          </cell>
        </row>
        <row r="286">
          <cell r="H286">
            <v>13</v>
          </cell>
          <cell r="I286">
            <v>415.22</v>
          </cell>
          <cell r="P286">
            <v>0</v>
          </cell>
          <cell r="R286">
            <v>1</v>
          </cell>
          <cell r="X286">
            <v>13</v>
          </cell>
          <cell r="Y286">
            <v>5397.86</v>
          </cell>
          <cell r="Z286">
            <v>1</v>
          </cell>
          <cell r="AB286">
            <v>0</v>
          </cell>
        </row>
        <row r="287">
          <cell r="AB287">
            <v>0</v>
          </cell>
        </row>
        <row r="288">
          <cell r="H288">
            <v>11</v>
          </cell>
          <cell r="I288">
            <v>288.41000000000003</v>
          </cell>
          <cell r="P288">
            <v>0</v>
          </cell>
          <cell r="R288">
            <v>1</v>
          </cell>
          <cell r="X288">
            <v>11</v>
          </cell>
          <cell r="Y288">
            <v>3172.51</v>
          </cell>
          <cell r="Z288">
            <v>1</v>
          </cell>
          <cell r="AB288">
            <v>0</v>
          </cell>
        </row>
        <row r="289">
          <cell r="H289">
            <v>1</v>
          </cell>
          <cell r="I289">
            <v>61.88</v>
          </cell>
          <cell r="P289">
            <v>0</v>
          </cell>
          <cell r="R289">
            <v>1</v>
          </cell>
          <cell r="X289">
            <v>1</v>
          </cell>
          <cell r="Y289">
            <v>61.88</v>
          </cell>
          <cell r="Z289">
            <v>1</v>
          </cell>
          <cell r="AB289">
            <v>0</v>
          </cell>
        </row>
        <row r="290">
          <cell r="AB290">
            <v>0</v>
          </cell>
        </row>
        <row r="291">
          <cell r="H291">
            <v>2</v>
          </cell>
          <cell r="I291">
            <v>77.91</v>
          </cell>
          <cell r="P291">
            <v>0</v>
          </cell>
          <cell r="R291">
            <v>1</v>
          </cell>
          <cell r="X291">
            <v>2</v>
          </cell>
          <cell r="Y291">
            <v>155.82</v>
          </cell>
          <cell r="Z291">
            <v>1</v>
          </cell>
          <cell r="AB291">
            <v>0</v>
          </cell>
        </row>
        <row r="292">
          <cell r="H292">
            <v>2</v>
          </cell>
          <cell r="I292">
            <v>104.21</v>
          </cell>
          <cell r="P292">
            <v>0</v>
          </cell>
          <cell r="R292">
            <v>1</v>
          </cell>
          <cell r="X292">
            <v>2</v>
          </cell>
          <cell r="Y292">
            <v>208.42</v>
          </cell>
          <cell r="Z292">
            <v>1</v>
          </cell>
          <cell r="AB292">
            <v>0</v>
          </cell>
        </row>
        <row r="293">
          <cell r="AB293">
            <v>0</v>
          </cell>
        </row>
        <row r="294">
          <cell r="H294">
            <v>2</v>
          </cell>
          <cell r="I294">
            <v>35.46</v>
          </cell>
          <cell r="P294">
            <v>0</v>
          </cell>
          <cell r="R294">
            <v>1</v>
          </cell>
          <cell r="X294">
            <v>2</v>
          </cell>
          <cell r="Y294">
            <v>70.92</v>
          </cell>
          <cell r="Z294">
            <v>1</v>
          </cell>
          <cell r="AB294">
            <v>0</v>
          </cell>
        </row>
        <row r="295">
          <cell r="H295">
            <v>5</v>
          </cell>
          <cell r="I295">
            <v>60.11</v>
          </cell>
          <cell r="P295">
            <v>0</v>
          </cell>
          <cell r="R295">
            <v>1</v>
          </cell>
          <cell r="X295">
            <v>5</v>
          </cell>
          <cell r="Y295">
            <v>300.55</v>
          </cell>
          <cell r="Z295">
            <v>1</v>
          </cell>
          <cell r="AB295">
            <v>0</v>
          </cell>
        </row>
        <row r="296">
          <cell r="H296">
            <v>1</v>
          </cell>
          <cell r="I296">
            <v>22.3</v>
          </cell>
          <cell r="P296">
            <v>0</v>
          </cell>
          <cell r="R296">
            <v>1</v>
          </cell>
          <cell r="X296">
            <v>1</v>
          </cell>
          <cell r="Y296">
            <v>22.3</v>
          </cell>
          <cell r="Z296">
            <v>1</v>
          </cell>
          <cell r="AB296">
            <v>0</v>
          </cell>
        </row>
        <row r="297">
          <cell r="H297">
            <v>1</v>
          </cell>
          <cell r="I297">
            <v>86.93</v>
          </cell>
          <cell r="P297">
            <v>0</v>
          </cell>
          <cell r="R297">
            <v>1</v>
          </cell>
          <cell r="X297">
            <v>1</v>
          </cell>
          <cell r="Y297">
            <v>86.93</v>
          </cell>
          <cell r="Z297">
            <v>1</v>
          </cell>
          <cell r="AB297">
            <v>0</v>
          </cell>
        </row>
        <row r="298">
          <cell r="H298">
            <v>3</v>
          </cell>
          <cell r="I298">
            <v>134.37</v>
          </cell>
          <cell r="P298">
            <v>0</v>
          </cell>
          <cell r="R298">
            <v>1</v>
          </cell>
          <cell r="X298">
            <v>3</v>
          </cell>
          <cell r="Y298">
            <v>403.11</v>
          </cell>
          <cell r="Z298">
            <v>1</v>
          </cell>
          <cell r="AB298">
            <v>0</v>
          </cell>
        </row>
        <row r="299">
          <cell r="H299">
            <v>2</v>
          </cell>
          <cell r="I299">
            <v>362.39</v>
          </cell>
          <cell r="P299">
            <v>0</v>
          </cell>
          <cell r="R299">
            <v>1</v>
          </cell>
          <cell r="X299">
            <v>2</v>
          </cell>
          <cell r="Y299">
            <v>724.78</v>
          </cell>
          <cell r="Z299">
            <v>1</v>
          </cell>
          <cell r="AB299">
            <v>0</v>
          </cell>
        </row>
        <row r="300">
          <cell r="H300">
            <v>1</v>
          </cell>
          <cell r="I300">
            <v>628.1</v>
          </cell>
          <cell r="P300">
            <v>0</v>
          </cell>
          <cell r="R300">
            <v>1</v>
          </cell>
          <cell r="X300">
            <v>1</v>
          </cell>
          <cell r="Y300">
            <v>628.1</v>
          </cell>
          <cell r="Z300">
            <v>1</v>
          </cell>
          <cell r="AB300">
            <v>0</v>
          </cell>
        </row>
        <row r="301">
          <cell r="AB301">
            <v>0</v>
          </cell>
        </row>
        <row r="302">
          <cell r="H302">
            <v>11</v>
          </cell>
          <cell r="I302">
            <v>86.23</v>
          </cell>
          <cell r="P302">
            <v>0</v>
          </cell>
          <cell r="R302">
            <v>1</v>
          </cell>
          <cell r="X302">
            <v>11</v>
          </cell>
          <cell r="Y302">
            <v>948.53</v>
          </cell>
          <cell r="Z302">
            <v>1</v>
          </cell>
          <cell r="AB302">
            <v>0</v>
          </cell>
        </row>
        <row r="303">
          <cell r="H303">
            <v>1</v>
          </cell>
          <cell r="I303">
            <v>47.1</v>
          </cell>
          <cell r="P303">
            <v>0</v>
          </cell>
          <cell r="R303">
            <v>1</v>
          </cell>
          <cell r="X303">
            <v>1</v>
          </cell>
          <cell r="Y303">
            <v>47.1</v>
          </cell>
          <cell r="Z303">
            <v>1</v>
          </cell>
          <cell r="AB303">
            <v>0</v>
          </cell>
        </row>
        <row r="304">
          <cell r="AB304">
            <v>0</v>
          </cell>
        </row>
        <row r="305">
          <cell r="U305">
            <v>0</v>
          </cell>
          <cell r="W305">
            <v>0</v>
          </cell>
          <cell r="Y305">
            <v>6312.4</v>
          </cell>
          <cell r="Z305">
            <v>1</v>
          </cell>
          <cell r="AB305">
            <v>0</v>
          </cell>
        </row>
        <row r="306">
          <cell r="AB306">
            <v>0</v>
          </cell>
        </row>
        <row r="307">
          <cell r="H307">
            <v>11</v>
          </cell>
          <cell r="I307">
            <v>36.630000000000003</v>
          </cell>
          <cell r="P307">
            <v>0</v>
          </cell>
          <cell r="R307">
            <v>1</v>
          </cell>
          <cell r="X307">
            <v>11</v>
          </cell>
          <cell r="Y307">
            <v>402.93</v>
          </cell>
          <cell r="Z307">
            <v>1</v>
          </cell>
          <cell r="AB307">
            <v>0</v>
          </cell>
        </row>
        <row r="308">
          <cell r="H308">
            <v>1</v>
          </cell>
          <cell r="I308">
            <v>21.34</v>
          </cell>
          <cell r="P308">
            <v>0</v>
          </cell>
          <cell r="R308">
            <v>1</v>
          </cell>
          <cell r="X308">
            <v>1</v>
          </cell>
          <cell r="Y308">
            <v>21.34</v>
          </cell>
          <cell r="Z308">
            <v>1</v>
          </cell>
          <cell r="AB308">
            <v>0</v>
          </cell>
        </row>
        <row r="309">
          <cell r="AB309">
            <v>0</v>
          </cell>
        </row>
        <row r="310">
          <cell r="H310">
            <v>9</v>
          </cell>
          <cell r="I310">
            <v>167.86</v>
          </cell>
          <cell r="P310">
            <v>0</v>
          </cell>
          <cell r="R310">
            <v>1</v>
          </cell>
          <cell r="X310">
            <v>9</v>
          </cell>
          <cell r="Y310">
            <v>1510.74</v>
          </cell>
          <cell r="Z310">
            <v>1</v>
          </cell>
          <cell r="AB310">
            <v>0</v>
          </cell>
        </row>
        <row r="311">
          <cell r="H311">
            <v>5</v>
          </cell>
          <cell r="I311">
            <v>64.540000000000006</v>
          </cell>
          <cell r="P311">
            <v>0</v>
          </cell>
          <cell r="R311">
            <v>1</v>
          </cell>
          <cell r="X311">
            <v>5</v>
          </cell>
          <cell r="Y311">
            <v>322.7</v>
          </cell>
          <cell r="Z311">
            <v>1</v>
          </cell>
          <cell r="AB311">
            <v>0</v>
          </cell>
        </row>
        <row r="312">
          <cell r="H312">
            <v>5</v>
          </cell>
          <cell r="I312">
            <v>216.88</v>
          </cell>
          <cell r="P312">
            <v>0</v>
          </cell>
          <cell r="R312">
            <v>1</v>
          </cell>
          <cell r="X312">
            <v>5</v>
          </cell>
          <cell r="Y312">
            <v>1084.4000000000001</v>
          </cell>
          <cell r="Z312">
            <v>1</v>
          </cell>
          <cell r="AB312">
            <v>0</v>
          </cell>
        </row>
        <row r="313">
          <cell r="H313">
            <v>2</v>
          </cell>
          <cell r="I313">
            <v>70.459999999999994</v>
          </cell>
          <cell r="P313">
            <v>0</v>
          </cell>
          <cell r="R313">
            <v>1</v>
          </cell>
          <cell r="X313">
            <v>2</v>
          </cell>
          <cell r="Y313">
            <v>140.91999999999999</v>
          </cell>
          <cell r="Z313">
            <v>1</v>
          </cell>
          <cell r="AB313">
            <v>0</v>
          </cell>
        </row>
        <row r="314">
          <cell r="AB314">
            <v>0</v>
          </cell>
        </row>
        <row r="315">
          <cell r="H315">
            <v>1</v>
          </cell>
          <cell r="I315">
            <v>2091.39</v>
          </cell>
          <cell r="P315">
            <v>0</v>
          </cell>
          <cell r="R315">
            <v>1</v>
          </cell>
          <cell r="X315">
            <v>1</v>
          </cell>
          <cell r="Y315">
            <v>2091.39</v>
          </cell>
          <cell r="Z315">
            <v>1</v>
          </cell>
          <cell r="AB315">
            <v>0</v>
          </cell>
        </row>
        <row r="316">
          <cell r="H316">
            <v>1</v>
          </cell>
          <cell r="I316">
            <v>25.57</v>
          </cell>
          <cell r="P316">
            <v>0</v>
          </cell>
          <cell r="R316">
            <v>1</v>
          </cell>
          <cell r="X316">
            <v>1</v>
          </cell>
          <cell r="Y316">
            <v>25.57</v>
          </cell>
          <cell r="Z316">
            <v>1</v>
          </cell>
          <cell r="AB316">
            <v>0</v>
          </cell>
        </row>
        <row r="317">
          <cell r="AB317">
            <v>0</v>
          </cell>
        </row>
        <row r="318">
          <cell r="H318">
            <v>5</v>
          </cell>
          <cell r="I318">
            <v>16.850000000000001</v>
          </cell>
          <cell r="P318">
            <v>0</v>
          </cell>
          <cell r="R318">
            <v>1</v>
          </cell>
          <cell r="X318">
            <v>5</v>
          </cell>
          <cell r="Y318">
            <v>84.25</v>
          </cell>
          <cell r="Z318">
            <v>1</v>
          </cell>
          <cell r="AB318">
            <v>0</v>
          </cell>
        </row>
        <row r="319">
          <cell r="AB319">
            <v>0</v>
          </cell>
        </row>
        <row r="320">
          <cell r="H320">
            <v>8</v>
          </cell>
          <cell r="I320">
            <v>38.799999999999997</v>
          </cell>
          <cell r="P320">
            <v>0</v>
          </cell>
          <cell r="R320">
            <v>1</v>
          </cell>
          <cell r="X320">
            <v>8</v>
          </cell>
          <cell r="Y320">
            <v>310.39999999999998</v>
          </cell>
          <cell r="Z320">
            <v>1</v>
          </cell>
          <cell r="AB320">
            <v>0</v>
          </cell>
        </row>
        <row r="321">
          <cell r="H321">
            <v>2</v>
          </cell>
          <cell r="I321">
            <v>158.88</v>
          </cell>
          <cell r="P321">
            <v>0</v>
          </cell>
          <cell r="R321">
            <v>0</v>
          </cell>
          <cell r="X321">
            <v>2</v>
          </cell>
          <cell r="Y321">
            <v>317.76</v>
          </cell>
          <cell r="Z321">
            <v>1</v>
          </cell>
          <cell r="AB321">
            <v>0</v>
          </cell>
        </row>
        <row r="322">
          <cell r="AB322">
            <v>0</v>
          </cell>
        </row>
        <row r="323">
          <cell r="U323">
            <v>0</v>
          </cell>
          <cell r="W323">
            <v>0</v>
          </cell>
          <cell r="Y323">
            <v>39047.310000000012</v>
          </cell>
          <cell r="Z323">
            <v>1</v>
          </cell>
          <cell r="AB323">
            <v>0</v>
          </cell>
        </row>
        <row r="324">
          <cell r="AB324">
            <v>0</v>
          </cell>
        </row>
        <row r="325">
          <cell r="AB325">
            <v>0</v>
          </cell>
        </row>
        <row r="326">
          <cell r="H326">
            <v>204</v>
          </cell>
          <cell r="I326">
            <v>83.92</v>
          </cell>
          <cell r="P326">
            <v>0</v>
          </cell>
          <cell r="R326">
            <v>1</v>
          </cell>
          <cell r="W326">
            <v>0</v>
          </cell>
          <cell r="X326">
            <v>204</v>
          </cell>
          <cell r="Y326">
            <v>17119.68</v>
          </cell>
          <cell r="Z326">
            <v>1</v>
          </cell>
          <cell r="AB326">
            <v>0</v>
          </cell>
        </row>
        <row r="327">
          <cell r="H327">
            <v>108</v>
          </cell>
          <cell r="I327">
            <v>42.08</v>
          </cell>
          <cell r="P327">
            <v>0</v>
          </cell>
          <cell r="R327">
            <v>1</v>
          </cell>
          <cell r="X327">
            <v>108</v>
          </cell>
          <cell r="Y327">
            <v>4544.6400000000003</v>
          </cell>
          <cell r="Z327">
            <v>1</v>
          </cell>
          <cell r="AB327">
            <v>0</v>
          </cell>
        </row>
        <row r="328">
          <cell r="H328">
            <v>120</v>
          </cell>
          <cell r="I328">
            <v>33.96</v>
          </cell>
          <cell r="P328">
            <v>0</v>
          </cell>
          <cell r="R328">
            <v>1</v>
          </cell>
          <cell r="X328">
            <v>120</v>
          </cell>
          <cell r="Y328">
            <v>4075.2</v>
          </cell>
          <cell r="Z328">
            <v>1</v>
          </cell>
          <cell r="AB328">
            <v>0</v>
          </cell>
        </row>
        <row r="329">
          <cell r="H329">
            <v>210</v>
          </cell>
          <cell r="I329">
            <v>30.55</v>
          </cell>
          <cell r="P329">
            <v>0</v>
          </cell>
          <cell r="R329">
            <v>1</v>
          </cell>
          <cell r="X329">
            <v>210</v>
          </cell>
          <cell r="Y329">
            <v>6415.5</v>
          </cell>
          <cell r="Z329">
            <v>1</v>
          </cell>
          <cell r="AB329">
            <v>0</v>
          </cell>
        </row>
        <row r="330">
          <cell r="H330">
            <v>102</v>
          </cell>
          <cell r="I330">
            <v>24.03</v>
          </cell>
          <cell r="P330">
            <v>0</v>
          </cell>
          <cell r="R330">
            <v>1</v>
          </cell>
          <cell r="X330">
            <v>102</v>
          </cell>
          <cell r="Y330">
            <v>2451.06</v>
          </cell>
          <cell r="Z330">
            <v>1</v>
          </cell>
          <cell r="AB330">
            <v>0</v>
          </cell>
        </row>
        <row r="331">
          <cell r="AB331">
            <v>0</v>
          </cell>
        </row>
        <row r="332">
          <cell r="H332">
            <v>2</v>
          </cell>
          <cell r="I332">
            <v>13.31</v>
          </cell>
          <cell r="P332">
            <v>0</v>
          </cell>
          <cell r="R332">
            <v>1</v>
          </cell>
          <cell r="X332">
            <v>2</v>
          </cell>
          <cell r="Y332">
            <v>26.62</v>
          </cell>
          <cell r="Z332">
            <v>1</v>
          </cell>
          <cell r="AB332">
            <v>0</v>
          </cell>
        </row>
        <row r="333">
          <cell r="AB333">
            <v>0</v>
          </cell>
        </row>
        <row r="334">
          <cell r="H334">
            <v>11</v>
          </cell>
          <cell r="I334">
            <v>17.829999999999998</v>
          </cell>
          <cell r="P334">
            <v>0</v>
          </cell>
          <cell r="R334">
            <v>1</v>
          </cell>
          <cell r="X334">
            <v>11</v>
          </cell>
          <cell r="Y334">
            <v>196.13</v>
          </cell>
          <cell r="Z334">
            <v>1</v>
          </cell>
          <cell r="AB334">
            <v>0</v>
          </cell>
        </row>
        <row r="335">
          <cell r="H335">
            <v>18</v>
          </cell>
          <cell r="I335">
            <v>14.4</v>
          </cell>
          <cell r="P335">
            <v>0</v>
          </cell>
          <cell r="R335">
            <v>1</v>
          </cell>
          <cell r="X335">
            <v>18</v>
          </cell>
          <cell r="Y335">
            <v>259.2</v>
          </cell>
          <cell r="Z335">
            <v>1</v>
          </cell>
          <cell r="AB335">
            <v>0</v>
          </cell>
        </row>
        <row r="336">
          <cell r="H336">
            <v>13</v>
          </cell>
          <cell r="I336">
            <v>8.89</v>
          </cell>
          <cell r="P336">
            <v>0</v>
          </cell>
          <cell r="R336">
            <v>1</v>
          </cell>
          <cell r="X336">
            <v>13</v>
          </cell>
          <cell r="Y336">
            <v>115.57</v>
          </cell>
          <cell r="Z336">
            <v>1</v>
          </cell>
          <cell r="AB336">
            <v>0</v>
          </cell>
        </row>
        <row r="337">
          <cell r="H337">
            <v>33</v>
          </cell>
          <cell r="I337">
            <v>7.15</v>
          </cell>
          <cell r="P337">
            <v>0</v>
          </cell>
          <cell r="R337">
            <v>1</v>
          </cell>
          <cell r="X337">
            <v>33</v>
          </cell>
          <cell r="Y337">
            <v>235.95</v>
          </cell>
          <cell r="Z337">
            <v>1</v>
          </cell>
          <cell r="AB337">
            <v>0</v>
          </cell>
        </row>
        <row r="338">
          <cell r="H338">
            <v>23</v>
          </cell>
          <cell r="I338">
            <v>18.29</v>
          </cell>
          <cell r="P338">
            <v>0</v>
          </cell>
          <cell r="R338">
            <v>1</v>
          </cell>
          <cell r="X338">
            <v>23</v>
          </cell>
          <cell r="Y338">
            <v>420.67</v>
          </cell>
          <cell r="Z338">
            <v>1</v>
          </cell>
          <cell r="AB338">
            <v>0</v>
          </cell>
        </row>
        <row r="339">
          <cell r="H339">
            <v>7</v>
          </cell>
          <cell r="I339">
            <v>13.72</v>
          </cell>
          <cell r="P339">
            <v>0</v>
          </cell>
          <cell r="R339">
            <v>1</v>
          </cell>
          <cell r="X339">
            <v>7</v>
          </cell>
          <cell r="Y339">
            <v>96.04</v>
          </cell>
          <cell r="Z339">
            <v>1</v>
          </cell>
          <cell r="AB339">
            <v>0</v>
          </cell>
        </row>
        <row r="340">
          <cell r="H340">
            <v>80</v>
          </cell>
          <cell r="I340">
            <v>8.3800000000000008</v>
          </cell>
          <cell r="P340">
            <v>0</v>
          </cell>
          <cell r="R340">
            <v>1</v>
          </cell>
          <cell r="X340">
            <v>80</v>
          </cell>
          <cell r="Y340">
            <v>670.4</v>
          </cell>
          <cell r="Z340">
            <v>1</v>
          </cell>
          <cell r="AB340">
            <v>0</v>
          </cell>
        </row>
        <row r="341">
          <cell r="H341">
            <v>69</v>
          </cell>
          <cell r="I341">
            <v>6.95</v>
          </cell>
          <cell r="P341">
            <v>0</v>
          </cell>
          <cell r="R341">
            <v>1</v>
          </cell>
          <cell r="X341">
            <v>69</v>
          </cell>
          <cell r="Y341">
            <v>479.55</v>
          </cell>
          <cell r="Z341">
            <v>1</v>
          </cell>
          <cell r="AB341">
            <v>0</v>
          </cell>
        </row>
        <row r="342">
          <cell r="AB342">
            <v>0</v>
          </cell>
        </row>
        <row r="343">
          <cell r="H343">
            <v>6</v>
          </cell>
          <cell r="I343">
            <v>11.26</v>
          </cell>
          <cell r="P343">
            <v>0</v>
          </cell>
          <cell r="R343">
            <v>1</v>
          </cell>
          <cell r="X343">
            <v>6</v>
          </cell>
          <cell r="Y343">
            <v>67.56</v>
          </cell>
          <cell r="Z343">
            <v>1</v>
          </cell>
          <cell r="AB343">
            <v>0</v>
          </cell>
        </row>
        <row r="344">
          <cell r="H344">
            <v>3</v>
          </cell>
          <cell r="I344">
            <v>7.3</v>
          </cell>
          <cell r="P344">
            <v>0</v>
          </cell>
          <cell r="R344">
            <v>1</v>
          </cell>
          <cell r="X344">
            <v>3</v>
          </cell>
          <cell r="Y344">
            <v>21.9</v>
          </cell>
          <cell r="Z344">
            <v>1</v>
          </cell>
          <cell r="AB344">
            <v>0</v>
          </cell>
        </row>
        <row r="345">
          <cell r="AB345">
            <v>0</v>
          </cell>
        </row>
        <row r="346">
          <cell r="H346">
            <v>13</v>
          </cell>
          <cell r="I346">
            <v>7.53</v>
          </cell>
          <cell r="P346">
            <v>0</v>
          </cell>
          <cell r="R346">
            <v>1</v>
          </cell>
          <cell r="X346">
            <v>13</v>
          </cell>
          <cell r="Y346">
            <v>97.89</v>
          </cell>
          <cell r="Z346">
            <v>1</v>
          </cell>
          <cell r="AB346">
            <v>0</v>
          </cell>
        </row>
        <row r="347">
          <cell r="H347">
            <v>7</v>
          </cell>
          <cell r="I347">
            <v>12.67</v>
          </cell>
          <cell r="P347">
            <v>0</v>
          </cell>
          <cell r="R347">
            <v>1</v>
          </cell>
          <cell r="X347">
            <v>7</v>
          </cell>
          <cell r="Y347">
            <v>88.69</v>
          </cell>
          <cell r="Z347">
            <v>1</v>
          </cell>
          <cell r="AB347">
            <v>0</v>
          </cell>
        </row>
        <row r="348">
          <cell r="H348">
            <v>8</v>
          </cell>
          <cell r="I348">
            <v>9.4700000000000006</v>
          </cell>
          <cell r="P348">
            <v>0</v>
          </cell>
          <cell r="R348">
            <v>1</v>
          </cell>
          <cell r="X348">
            <v>8</v>
          </cell>
          <cell r="Y348">
            <v>75.760000000000005</v>
          </cell>
          <cell r="Z348">
            <v>1</v>
          </cell>
          <cell r="AB348">
            <v>0</v>
          </cell>
        </row>
        <row r="349">
          <cell r="H349">
            <v>14</v>
          </cell>
          <cell r="I349">
            <v>6.32</v>
          </cell>
          <cell r="P349">
            <v>0</v>
          </cell>
          <cell r="R349">
            <v>1</v>
          </cell>
          <cell r="X349">
            <v>14</v>
          </cell>
          <cell r="Y349">
            <v>88.48</v>
          </cell>
          <cell r="Z349">
            <v>1</v>
          </cell>
          <cell r="AB349">
            <v>0</v>
          </cell>
        </row>
        <row r="350">
          <cell r="H350">
            <v>7</v>
          </cell>
          <cell r="I350">
            <v>4.3</v>
          </cell>
          <cell r="P350">
            <v>0</v>
          </cell>
          <cell r="R350">
            <v>1</v>
          </cell>
          <cell r="X350">
            <v>7</v>
          </cell>
          <cell r="Y350">
            <v>30.1</v>
          </cell>
          <cell r="Z350">
            <v>1</v>
          </cell>
          <cell r="AB350">
            <v>0</v>
          </cell>
        </row>
        <row r="351">
          <cell r="AB351">
            <v>0</v>
          </cell>
        </row>
        <row r="352">
          <cell r="H352">
            <v>9</v>
          </cell>
          <cell r="I352">
            <v>13.13</v>
          </cell>
          <cell r="P352">
            <v>0</v>
          </cell>
          <cell r="R352">
            <v>1</v>
          </cell>
          <cell r="X352">
            <v>9</v>
          </cell>
          <cell r="Y352">
            <v>118.17</v>
          </cell>
          <cell r="Z352">
            <v>1</v>
          </cell>
          <cell r="AB352">
            <v>0</v>
          </cell>
        </row>
        <row r="353">
          <cell r="H353">
            <v>2</v>
          </cell>
          <cell r="I353">
            <v>1.73</v>
          </cell>
          <cell r="P353">
            <v>0</v>
          </cell>
          <cell r="R353">
            <v>1</v>
          </cell>
          <cell r="X353">
            <v>2</v>
          </cell>
          <cell r="Y353">
            <v>3.46</v>
          </cell>
          <cell r="Z353">
            <v>1</v>
          </cell>
          <cell r="AB353">
            <v>0</v>
          </cell>
        </row>
        <row r="354">
          <cell r="AB354">
            <v>0</v>
          </cell>
        </row>
        <row r="355">
          <cell r="H355">
            <v>23</v>
          </cell>
          <cell r="I355">
            <v>5.0999999999999996</v>
          </cell>
          <cell r="P355">
            <v>0</v>
          </cell>
          <cell r="R355">
            <v>0</v>
          </cell>
          <cell r="X355">
            <v>23</v>
          </cell>
          <cell r="Y355">
            <v>117.3</v>
          </cell>
          <cell r="Z355">
            <v>1</v>
          </cell>
          <cell r="AB355">
            <v>0</v>
          </cell>
        </row>
        <row r="356">
          <cell r="AB356">
            <v>0</v>
          </cell>
        </row>
        <row r="357">
          <cell r="H357">
            <v>23</v>
          </cell>
          <cell r="I357">
            <v>5.0999999999999996</v>
          </cell>
          <cell r="P357">
            <v>0</v>
          </cell>
          <cell r="R357">
            <v>0</v>
          </cell>
          <cell r="X357">
            <v>23</v>
          </cell>
          <cell r="Y357">
            <v>117.3</v>
          </cell>
          <cell r="Z357">
            <v>1</v>
          </cell>
          <cell r="AB357">
            <v>0</v>
          </cell>
        </row>
        <row r="358">
          <cell r="AB358">
            <v>0</v>
          </cell>
        </row>
        <row r="359">
          <cell r="H359">
            <v>17</v>
          </cell>
          <cell r="I359">
            <v>3.91</v>
          </cell>
          <cell r="P359">
            <v>0</v>
          </cell>
          <cell r="R359">
            <v>0</v>
          </cell>
          <cell r="X359">
            <v>17</v>
          </cell>
          <cell r="Y359">
            <v>66.47</v>
          </cell>
          <cell r="Z359">
            <v>1</v>
          </cell>
          <cell r="AB359">
            <v>0</v>
          </cell>
        </row>
        <row r="360">
          <cell r="AB360">
            <v>0</v>
          </cell>
        </row>
        <row r="361">
          <cell r="H361">
            <v>23</v>
          </cell>
          <cell r="I361">
            <v>13.71</v>
          </cell>
          <cell r="P361">
            <v>0</v>
          </cell>
          <cell r="R361">
            <v>1</v>
          </cell>
          <cell r="X361">
            <v>23</v>
          </cell>
          <cell r="Y361">
            <v>315.33</v>
          </cell>
          <cell r="Z361">
            <v>1</v>
          </cell>
          <cell r="AB361">
            <v>0</v>
          </cell>
        </row>
        <row r="362">
          <cell r="H362">
            <v>21</v>
          </cell>
          <cell r="I362">
            <v>11.01</v>
          </cell>
          <cell r="P362">
            <v>0</v>
          </cell>
          <cell r="R362">
            <v>1</v>
          </cell>
          <cell r="X362">
            <v>21</v>
          </cell>
          <cell r="Y362">
            <v>231.21</v>
          </cell>
          <cell r="Z362">
            <v>1</v>
          </cell>
          <cell r="AB362">
            <v>0</v>
          </cell>
        </row>
        <row r="363">
          <cell r="H363">
            <v>2</v>
          </cell>
          <cell r="I363">
            <v>48.45</v>
          </cell>
          <cell r="P363">
            <v>0</v>
          </cell>
          <cell r="R363">
            <v>1</v>
          </cell>
          <cell r="X363">
            <v>2</v>
          </cell>
          <cell r="Y363">
            <v>96.9</v>
          </cell>
          <cell r="Z363">
            <v>1</v>
          </cell>
          <cell r="AB363">
            <v>0</v>
          </cell>
        </row>
        <row r="364">
          <cell r="H364">
            <v>4</v>
          </cell>
          <cell r="I364">
            <v>27.77</v>
          </cell>
          <cell r="P364">
            <v>0</v>
          </cell>
          <cell r="R364">
            <v>1</v>
          </cell>
          <cell r="X364">
            <v>4</v>
          </cell>
          <cell r="Y364">
            <v>111.08</v>
          </cell>
          <cell r="Z364">
            <v>1</v>
          </cell>
          <cell r="AB364">
            <v>0</v>
          </cell>
        </row>
        <row r="365">
          <cell r="H365">
            <v>50</v>
          </cell>
          <cell r="I365">
            <v>5.87</v>
          </cell>
          <cell r="P365">
            <v>0</v>
          </cell>
          <cell r="R365">
            <v>1</v>
          </cell>
          <cell r="X365">
            <v>50</v>
          </cell>
          <cell r="Y365">
            <v>293.5</v>
          </cell>
          <cell r="Z365">
            <v>1</v>
          </cell>
          <cell r="AB365">
            <v>0</v>
          </cell>
        </row>
        <row r="366">
          <cell r="AB366">
            <v>0</v>
          </cell>
        </row>
        <row r="367">
          <cell r="U367">
            <v>48.3</v>
          </cell>
          <cell r="W367">
            <v>4909</v>
          </cell>
          <cell r="Y367">
            <v>22579.02</v>
          </cell>
          <cell r="Z367">
            <v>1.2743318779658568</v>
          </cell>
          <cell r="AB367">
            <v>48.3</v>
          </cell>
        </row>
        <row r="368">
          <cell r="AB368">
            <v>0</v>
          </cell>
        </row>
        <row r="369">
          <cell r="H369">
            <v>4</v>
          </cell>
          <cell r="I369">
            <v>76.55</v>
          </cell>
          <cell r="P369">
            <v>0</v>
          </cell>
          <cell r="R369">
            <v>1</v>
          </cell>
          <cell r="X369">
            <v>4</v>
          </cell>
          <cell r="Y369">
            <v>306.2</v>
          </cell>
          <cell r="Z369">
            <v>1</v>
          </cell>
          <cell r="AB369">
            <v>0</v>
          </cell>
        </row>
        <row r="370">
          <cell r="H370">
            <v>18</v>
          </cell>
          <cell r="I370">
            <v>46.73</v>
          </cell>
          <cell r="P370">
            <v>0</v>
          </cell>
          <cell r="R370">
            <v>1</v>
          </cell>
          <cell r="X370">
            <v>18</v>
          </cell>
          <cell r="Y370">
            <v>841.14</v>
          </cell>
          <cell r="Z370">
            <v>1</v>
          </cell>
          <cell r="AB370">
            <v>0</v>
          </cell>
        </row>
        <row r="371">
          <cell r="AB371">
            <v>0</v>
          </cell>
        </row>
        <row r="372">
          <cell r="H372">
            <v>6</v>
          </cell>
          <cell r="I372">
            <v>33.880000000000003</v>
          </cell>
          <cell r="P372">
            <v>0</v>
          </cell>
          <cell r="R372">
            <v>1</v>
          </cell>
          <cell r="X372">
            <v>6</v>
          </cell>
          <cell r="Y372">
            <v>203.28</v>
          </cell>
          <cell r="Z372">
            <v>1</v>
          </cell>
          <cell r="AB372">
            <v>0</v>
          </cell>
        </row>
        <row r="373">
          <cell r="X373">
            <v>0</v>
          </cell>
          <cell r="Y373">
            <v>0</v>
          </cell>
          <cell r="Z373" t="e">
            <v>#DIV/0!</v>
          </cell>
          <cell r="AB373">
            <v>0</v>
          </cell>
        </row>
        <row r="374">
          <cell r="H374">
            <v>13</v>
          </cell>
          <cell r="I374">
            <v>22.3</v>
          </cell>
          <cell r="P374">
            <v>0</v>
          </cell>
          <cell r="R374">
            <v>0</v>
          </cell>
          <cell r="X374">
            <v>13</v>
          </cell>
          <cell r="Y374">
            <v>289.89999999999998</v>
          </cell>
          <cell r="Z374">
            <v>1</v>
          </cell>
          <cell r="AB374">
            <v>0</v>
          </cell>
        </row>
        <row r="375">
          <cell r="H375">
            <v>2</v>
          </cell>
          <cell r="I375">
            <v>22.3</v>
          </cell>
          <cell r="P375">
            <v>0</v>
          </cell>
          <cell r="R375">
            <v>0</v>
          </cell>
          <cell r="X375">
            <v>2</v>
          </cell>
          <cell r="Y375">
            <v>44.6</v>
          </cell>
          <cell r="Z375">
            <v>1</v>
          </cell>
          <cell r="AB375">
            <v>0</v>
          </cell>
        </row>
        <row r="376">
          <cell r="H376">
            <v>5</v>
          </cell>
          <cell r="I376">
            <v>22.3</v>
          </cell>
          <cell r="P376">
            <v>0</v>
          </cell>
          <cell r="R376">
            <v>0</v>
          </cell>
          <cell r="X376">
            <v>5</v>
          </cell>
          <cell r="Y376">
            <v>111.5</v>
          </cell>
          <cell r="Z376">
            <v>1</v>
          </cell>
          <cell r="AB376">
            <v>0</v>
          </cell>
        </row>
        <row r="377">
          <cell r="H377">
            <v>4</v>
          </cell>
          <cell r="I377">
            <v>22.3</v>
          </cell>
          <cell r="P377">
            <v>0</v>
          </cell>
          <cell r="R377">
            <v>0</v>
          </cell>
          <cell r="X377">
            <v>4</v>
          </cell>
          <cell r="Y377">
            <v>89.2</v>
          </cell>
          <cell r="Z377">
            <v>1</v>
          </cell>
          <cell r="AB377">
            <v>0</v>
          </cell>
        </row>
        <row r="378">
          <cell r="H378">
            <v>8</v>
          </cell>
          <cell r="I378">
            <v>35</v>
          </cell>
          <cell r="P378">
            <v>0</v>
          </cell>
          <cell r="R378">
            <v>0</v>
          </cell>
          <cell r="V378">
            <v>10</v>
          </cell>
          <cell r="W378">
            <v>350</v>
          </cell>
          <cell r="X378">
            <v>18</v>
          </cell>
          <cell r="Y378">
            <v>630</v>
          </cell>
          <cell r="Z378">
            <v>2.25</v>
          </cell>
          <cell r="AB378">
            <v>0</v>
          </cell>
        </row>
        <row r="379">
          <cell r="H379">
            <v>40</v>
          </cell>
          <cell r="I379">
            <v>97</v>
          </cell>
          <cell r="P379">
            <v>0</v>
          </cell>
          <cell r="R379">
            <v>0</v>
          </cell>
          <cell r="V379">
            <v>47</v>
          </cell>
          <cell r="W379">
            <v>4559</v>
          </cell>
          <cell r="X379">
            <v>87</v>
          </cell>
          <cell r="Y379">
            <v>8439</v>
          </cell>
          <cell r="Z379">
            <v>2.1749999999999998</v>
          </cell>
          <cell r="AB379">
            <v>0</v>
          </cell>
        </row>
        <row r="380">
          <cell r="H380">
            <v>1</v>
          </cell>
          <cell r="I380">
            <v>12</v>
          </cell>
          <cell r="P380">
            <v>0</v>
          </cell>
          <cell r="R380">
            <v>0</v>
          </cell>
          <cell r="X380">
            <v>1</v>
          </cell>
          <cell r="Y380">
            <v>12</v>
          </cell>
          <cell r="Z380">
            <v>1</v>
          </cell>
          <cell r="AB380">
            <v>0</v>
          </cell>
        </row>
        <row r="381">
          <cell r="H381">
            <v>4</v>
          </cell>
          <cell r="I381">
            <v>16.100000000000001</v>
          </cell>
          <cell r="P381">
            <v>0</v>
          </cell>
          <cell r="R381">
            <v>0</v>
          </cell>
          <cell r="X381">
            <v>4</v>
          </cell>
          <cell r="Y381">
            <v>64.400000000000006</v>
          </cell>
          <cell r="Z381">
            <v>1</v>
          </cell>
          <cell r="AB381">
            <v>0</v>
          </cell>
        </row>
        <row r="382">
          <cell r="H382">
            <v>4</v>
          </cell>
          <cell r="I382">
            <v>32.299999999999997</v>
          </cell>
          <cell r="P382">
            <v>0</v>
          </cell>
          <cell r="R382">
            <v>0</v>
          </cell>
          <cell r="X382">
            <v>4</v>
          </cell>
          <cell r="Y382">
            <v>129.19999999999999</v>
          </cell>
          <cell r="Z382">
            <v>1</v>
          </cell>
          <cell r="AB382">
            <v>0</v>
          </cell>
        </row>
        <row r="383">
          <cell r="H383">
            <v>18</v>
          </cell>
          <cell r="I383">
            <v>16.100000000000001</v>
          </cell>
          <cell r="P383">
            <v>0</v>
          </cell>
          <cell r="R383">
            <v>0</v>
          </cell>
          <cell r="X383">
            <v>18</v>
          </cell>
          <cell r="Y383">
            <v>289.8</v>
          </cell>
          <cell r="Z383">
            <v>1</v>
          </cell>
          <cell r="AB383">
            <v>0</v>
          </cell>
        </row>
        <row r="384">
          <cell r="H384">
            <v>6</v>
          </cell>
          <cell r="I384">
            <v>16.100000000000001</v>
          </cell>
          <cell r="P384">
            <v>0</v>
          </cell>
          <cell r="R384">
            <v>0</v>
          </cell>
          <cell r="X384">
            <v>6</v>
          </cell>
          <cell r="Y384">
            <v>96.6</v>
          </cell>
          <cell r="Z384">
            <v>1</v>
          </cell>
          <cell r="AB384">
            <v>0</v>
          </cell>
        </row>
        <row r="385">
          <cell r="AB385">
            <v>0</v>
          </cell>
        </row>
        <row r="386">
          <cell r="H386">
            <v>1</v>
          </cell>
          <cell r="I386">
            <v>218.59</v>
          </cell>
          <cell r="P386">
            <v>0</v>
          </cell>
          <cell r="R386">
            <v>1</v>
          </cell>
          <cell r="X386">
            <v>1</v>
          </cell>
          <cell r="Y386">
            <v>218.59</v>
          </cell>
          <cell r="Z386">
            <v>1</v>
          </cell>
          <cell r="AB386">
            <v>0</v>
          </cell>
        </row>
        <row r="387">
          <cell r="H387">
            <v>1</v>
          </cell>
          <cell r="I387">
            <v>668.71</v>
          </cell>
          <cell r="P387">
            <v>0</v>
          </cell>
          <cell r="R387">
            <v>1</v>
          </cell>
          <cell r="X387">
            <v>1</v>
          </cell>
          <cell r="Y387">
            <v>668.71</v>
          </cell>
          <cell r="Z387">
            <v>1</v>
          </cell>
          <cell r="AB387">
            <v>0</v>
          </cell>
        </row>
        <row r="388">
          <cell r="H388">
            <v>2</v>
          </cell>
          <cell r="I388">
            <v>343.33</v>
          </cell>
          <cell r="P388">
            <v>1</v>
          </cell>
          <cell r="R388">
            <v>1</v>
          </cell>
          <cell r="X388">
            <v>2</v>
          </cell>
          <cell r="Y388">
            <v>686.66</v>
          </cell>
          <cell r="Z388">
            <v>1</v>
          </cell>
          <cell r="AB388">
            <v>0</v>
          </cell>
        </row>
        <row r="389">
          <cell r="AB389">
            <v>0</v>
          </cell>
        </row>
        <row r="390">
          <cell r="H390">
            <v>9</v>
          </cell>
          <cell r="I390">
            <v>16.100000000000001</v>
          </cell>
          <cell r="P390">
            <v>0</v>
          </cell>
          <cell r="R390">
            <v>1</v>
          </cell>
          <cell r="T390">
            <v>3</v>
          </cell>
          <cell r="U390">
            <v>48.3</v>
          </cell>
          <cell r="X390">
            <v>6</v>
          </cell>
          <cell r="Y390">
            <v>96.6</v>
          </cell>
          <cell r="Z390">
            <v>0.66666666666666663</v>
          </cell>
          <cell r="AB390">
            <v>48.3</v>
          </cell>
        </row>
        <row r="391">
          <cell r="H391">
            <v>6</v>
          </cell>
          <cell r="I391">
            <v>11</v>
          </cell>
          <cell r="P391">
            <v>0</v>
          </cell>
          <cell r="R391">
            <v>1</v>
          </cell>
          <cell r="X391">
            <v>6</v>
          </cell>
          <cell r="Y391">
            <v>66</v>
          </cell>
          <cell r="Z391">
            <v>1</v>
          </cell>
          <cell r="AB391">
            <v>0</v>
          </cell>
        </row>
        <row r="392">
          <cell r="AB392">
            <v>0</v>
          </cell>
        </row>
        <row r="393">
          <cell r="H393">
            <v>11</v>
          </cell>
          <cell r="I393">
            <v>142.54</v>
          </cell>
          <cell r="P393">
            <v>0</v>
          </cell>
          <cell r="R393">
            <v>1</v>
          </cell>
          <cell r="W393">
            <v>0</v>
          </cell>
          <cell r="X393">
            <v>11</v>
          </cell>
          <cell r="Y393">
            <v>1567.94</v>
          </cell>
          <cell r="Z393">
            <v>1</v>
          </cell>
          <cell r="AB393">
            <v>0</v>
          </cell>
        </row>
        <row r="394">
          <cell r="H394">
            <v>13</v>
          </cell>
          <cell r="I394">
            <v>343.33</v>
          </cell>
          <cell r="P394">
            <v>0</v>
          </cell>
          <cell r="R394">
            <v>0.69230769230769229</v>
          </cell>
          <cell r="W394">
            <v>0</v>
          </cell>
          <cell r="X394">
            <v>13</v>
          </cell>
          <cell r="Y394">
            <v>4463.29</v>
          </cell>
          <cell r="Z394">
            <v>1</v>
          </cell>
          <cell r="AB394">
            <v>0</v>
          </cell>
        </row>
        <row r="395">
          <cell r="H395">
            <v>2</v>
          </cell>
          <cell r="I395">
            <v>274.33999999999997</v>
          </cell>
          <cell r="P395">
            <v>0</v>
          </cell>
          <cell r="R395">
            <v>1</v>
          </cell>
          <cell r="X395">
            <v>2</v>
          </cell>
          <cell r="Y395">
            <v>548.67999999999995</v>
          </cell>
          <cell r="Z395">
            <v>1</v>
          </cell>
          <cell r="AB395">
            <v>0</v>
          </cell>
        </row>
        <row r="396">
          <cell r="AB396">
            <v>0</v>
          </cell>
        </row>
        <row r="397">
          <cell r="H397">
            <v>1</v>
          </cell>
          <cell r="I397">
            <v>2091.39</v>
          </cell>
          <cell r="P397">
            <v>0</v>
          </cell>
          <cell r="R397">
            <v>1</v>
          </cell>
          <cell r="W397">
            <v>0</v>
          </cell>
          <cell r="X397">
            <v>1</v>
          </cell>
          <cell r="Y397">
            <v>2091.39</v>
          </cell>
          <cell r="Z397">
            <v>1</v>
          </cell>
          <cell r="AB397">
            <v>0</v>
          </cell>
        </row>
        <row r="398">
          <cell r="H398">
            <v>1</v>
          </cell>
          <cell r="I398">
            <v>624.34</v>
          </cell>
          <cell r="P398">
            <v>0</v>
          </cell>
          <cell r="R398">
            <v>1</v>
          </cell>
          <cell r="W398">
            <v>0</v>
          </cell>
          <cell r="X398">
            <v>1</v>
          </cell>
          <cell r="Y398">
            <v>624.34</v>
          </cell>
          <cell r="Z398">
            <v>1</v>
          </cell>
          <cell r="AB398">
            <v>0</v>
          </cell>
        </row>
        <row r="399">
          <cell r="AB399">
            <v>0</v>
          </cell>
        </row>
        <row r="400">
          <cell r="U400">
            <v>0</v>
          </cell>
          <cell r="W400">
            <v>9939.82</v>
          </cell>
          <cell r="Y400">
            <v>147569.91999999995</v>
          </cell>
          <cell r="Z400">
            <v>1.07222134345767</v>
          </cell>
          <cell r="AB400">
            <v>0</v>
          </cell>
        </row>
        <row r="401">
          <cell r="U401">
            <v>0</v>
          </cell>
          <cell r="W401">
            <v>373.23</v>
          </cell>
          <cell r="Y401">
            <v>90227.659999999945</v>
          </cell>
          <cell r="Z401">
            <v>1.0041537184087641</v>
          </cell>
          <cell r="AB401">
            <v>0</v>
          </cell>
        </row>
        <row r="402">
          <cell r="AB402">
            <v>0</v>
          </cell>
        </row>
        <row r="403">
          <cell r="H403">
            <v>3</v>
          </cell>
          <cell r="I403">
            <v>43.42</v>
          </cell>
          <cell r="P403">
            <v>0</v>
          </cell>
          <cell r="R403">
            <v>0</v>
          </cell>
          <cell r="X403">
            <v>3</v>
          </cell>
          <cell r="Y403">
            <v>130.26</v>
          </cell>
          <cell r="Z403">
            <v>1</v>
          </cell>
          <cell r="AB403">
            <v>0</v>
          </cell>
        </row>
        <row r="404">
          <cell r="H404">
            <v>1</v>
          </cell>
          <cell r="I404">
            <v>60.86</v>
          </cell>
          <cell r="P404">
            <v>0</v>
          </cell>
          <cell r="R404">
            <v>0</v>
          </cell>
          <cell r="X404">
            <v>1</v>
          </cell>
          <cell r="Y404">
            <v>60.86</v>
          </cell>
          <cell r="Z404">
            <v>1</v>
          </cell>
          <cell r="AB404">
            <v>0</v>
          </cell>
        </row>
        <row r="405">
          <cell r="AB405">
            <v>0</v>
          </cell>
        </row>
        <row r="406">
          <cell r="H406">
            <v>15</v>
          </cell>
          <cell r="I406">
            <v>41.2</v>
          </cell>
          <cell r="P406">
            <v>0</v>
          </cell>
          <cell r="R406">
            <v>0</v>
          </cell>
          <cell r="X406">
            <v>15</v>
          </cell>
          <cell r="Y406">
            <v>618</v>
          </cell>
          <cell r="Z406">
            <v>1</v>
          </cell>
          <cell r="AB406">
            <v>0</v>
          </cell>
        </row>
        <row r="407">
          <cell r="H407">
            <v>8</v>
          </cell>
          <cell r="I407">
            <v>34.01</v>
          </cell>
          <cell r="P407">
            <v>0</v>
          </cell>
          <cell r="R407">
            <v>0</v>
          </cell>
          <cell r="X407">
            <v>8</v>
          </cell>
          <cell r="Y407">
            <v>272.08</v>
          </cell>
          <cell r="Z407">
            <v>1</v>
          </cell>
          <cell r="AB407">
            <v>0</v>
          </cell>
        </row>
        <row r="408">
          <cell r="AB408">
            <v>0</v>
          </cell>
        </row>
        <row r="409">
          <cell r="H409">
            <v>1</v>
          </cell>
          <cell r="I409">
            <v>1200</v>
          </cell>
          <cell r="P409">
            <v>0</v>
          </cell>
          <cell r="R409">
            <v>1</v>
          </cell>
          <cell r="X409">
            <v>1</v>
          </cell>
          <cell r="Y409">
            <v>1200</v>
          </cell>
          <cell r="Z409">
            <v>1</v>
          </cell>
          <cell r="AB409">
            <v>0</v>
          </cell>
        </row>
        <row r="410">
          <cell r="H410">
            <v>1</v>
          </cell>
          <cell r="I410">
            <v>604</v>
          </cell>
          <cell r="P410">
            <v>0</v>
          </cell>
          <cell r="R410">
            <v>1</v>
          </cell>
          <cell r="X410">
            <v>1</v>
          </cell>
          <cell r="Y410">
            <v>604</v>
          </cell>
          <cell r="Z410">
            <v>1</v>
          </cell>
          <cell r="AB410">
            <v>0</v>
          </cell>
        </row>
        <row r="411">
          <cell r="H411">
            <v>2</v>
          </cell>
          <cell r="I411">
            <v>900</v>
          </cell>
          <cell r="P411">
            <v>0</v>
          </cell>
          <cell r="R411">
            <v>1</v>
          </cell>
          <cell r="X411">
            <v>2</v>
          </cell>
          <cell r="Y411">
            <v>1800</v>
          </cell>
          <cell r="Z411">
            <v>1</v>
          </cell>
          <cell r="AB411">
            <v>0</v>
          </cell>
        </row>
        <row r="412">
          <cell r="H412">
            <v>1</v>
          </cell>
          <cell r="I412">
            <v>900</v>
          </cell>
          <cell r="P412">
            <v>0</v>
          </cell>
          <cell r="R412">
            <v>1</v>
          </cell>
          <cell r="X412">
            <v>1</v>
          </cell>
          <cell r="Y412">
            <v>900</v>
          </cell>
          <cell r="Z412">
            <v>1</v>
          </cell>
          <cell r="AB412">
            <v>0</v>
          </cell>
        </row>
        <row r="413">
          <cell r="H413">
            <v>1</v>
          </cell>
          <cell r="I413">
            <v>900</v>
          </cell>
          <cell r="P413">
            <v>0</v>
          </cell>
          <cell r="R413">
            <v>1</v>
          </cell>
          <cell r="X413">
            <v>1</v>
          </cell>
          <cell r="Y413">
            <v>900</v>
          </cell>
          <cell r="Z413">
            <v>1</v>
          </cell>
          <cell r="AB413">
            <v>0</v>
          </cell>
        </row>
        <row r="414">
          <cell r="H414">
            <v>1</v>
          </cell>
          <cell r="I414">
            <v>120</v>
          </cell>
          <cell r="P414">
            <v>0</v>
          </cell>
          <cell r="R414">
            <v>1</v>
          </cell>
          <cell r="X414">
            <v>1</v>
          </cell>
          <cell r="Y414">
            <v>120</v>
          </cell>
          <cell r="Z414">
            <v>1</v>
          </cell>
          <cell r="AB414">
            <v>0</v>
          </cell>
        </row>
        <row r="415">
          <cell r="AB415">
            <v>0</v>
          </cell>
        </row>
        <row r="416">
          <cell r="H416">
            <v>2</v>
          </cell>
          <cell r="I416">
            <v>430.22</v>
          </cell>
          <cell r="P416">
            <v>0</v>
          </cell>
          <cell r="R416">
            <v>1</v>
          </cell>
          <cell r="X416">
            <v>2</v>
          </cell>
          <cell r="Y416">
            <v>860.44</v>
          </cell>
          <cell r="Z416">
            <v>1</v>
          </cell>
          <cell r="AB416">
            <v>0</v>
          </cell>
        </row>
        <row r="417">
          <cell r="H417">
            <v>1</v>
          </cell>
          <cell r="I417">
            <v>996.64</v>
          </cell>
          <cell r="P417">
            <v>0</v>
          </cell>
          <cell r="R417">
            <v>1</v>
          </cell>
          <cell r="X417">
            <v>1</v>
          </cell>
          <cell r="Y417">
            <v>996.64</v>
          </cell>
          <cell r="Z417">
            <v>1</v>
          </cell>
          <cell r="AB417">
            <v>0</v>
          </cell>
        </row>
        <row r="418">
          <cell r="H418">
            <v>1</v>
          </cell>
          <cell r="I418">
            <v>996.64</v>
          </cell>
          <cell r="P418">
            <v>0</v>
          </cell>
          <cell r="R418">
            <v>1</v>
          </cell>
          <cell r="X418">
            <v>1</v>
          </cell>
          <cell r="Y418">
            <v>996.64</v>
          </cell>
          <cell r="Z418">
            <v>1</v>
          </cell>
          <cell r="AB418">
            <v>0</v>
          </cell>
        </row>
        <row r="419">
          <cell r="I419" t="str">
            <v>-</v>
          </cell>
          <cell r="AB419">
            <v>0</v>
          </cell>
        </row>
        <row r="420">
          <cell r="H420">
            <v>160</v>
          </cell>
          <cell r="I420">
            <v>27.99</v>
          </cell>
          <cell r="P420">
            <v>0</v>
          </cell>
          <cell r="R420">
            <v>0</v>
          </cell>
          <cell r="X420">
            <v>160</v>
          </cell>
          <cell r="Y420">
            <v>4478.3999999999996</v>
          </cell>
          <cell r="Z420">
            <v>1</v>
          </cell>
          <cell r="AB420">
            <v>0</v>
          </cell>
        </row>
        <row r="421">
          <cell r="H421">
            <v>337.5</v>
          </cell>
          <cell r="I421">
            <v>4.55</v>
          </cell>
          <cell r="P421">
            <v>0</v>
          </cell>
          <cell r="R421">
            <v>1</v>
          </cell>
          <cell r="X421">
            <v>337.5</v>
          </cell>
          <cell r="Y421">
            <v>1535.62</v>
          </cell>
          <cell r="Z421">
            <v>1</v>
          </cell>
          <cell r="AB421">
            <v>0</v>
          </cell>
        </row>
        <row r="422">
          <cell r="H422">
            <v>150</v>
          </cell>
          <cell r="I422">
            <v>5.82</v>
          </cell>
          <cell r="P422">
            <v>0</v>
          </cell>
          <cell r="R422">
            <v>1</v>
          </cell>
          <cell r="X422">
            <v>150</v>
          </cell>
          <cell r="Y422">
            <v>873</v>
          </cell>
          <cell r="Z422">
            <v>1</v>
          </cell>
          <cell r="AB422">
            <v>0</v>
          </cell>
        </row>
        <row r="423">
          <cell r="H423">
            <v>25</v>
          </cell>
          <cell r="I423">
            <v>7.4</v>
          </cell>
          <cell r="P423">
            <v>0</v>
          </cell>
          <cell r="R423">
            <v>0</v>
          </cell>
          <cell r="X423">
            <v>25</v>
          </cell>
          <cell r="Y423">
            <v>185</v>
          </cell>
          <cell r="Z423">
            <v>1</v>
          </cell>
          <cell r="AB423">
            <v>0</v>
          </cell>
        </row>
        <row r="424">
          <cell r="H424">
            <v>30</v>
          </cell>
          <cell r="I424">
            <v>14.55</v>
          </cell>
          <cell r="P424">
            <v>0</v>
          </cell>
          <cell r="R424">
            <v>1</v>
          </cell>
          <cell r="X424">
            <v>30</v>
          </cell>
          <cell r="Y424">
            <v>436.5</v>
          </cell>
          <cell r="Z424">
            <v>1</v>
          </cell>
          <cell r="AB424">
            <v>0</v>
          </cell>
        </row>
        <row r="425">
          <cell r="H425">
            <v>55</v>
          </cell>
          <cell r="I425">
            <v>15.52</v>
          </cell>
          <cell r="P425">
            <v>0</v>
          </cell>
          <cell r="R425">
            <v>1</v>
          </cell>
          <cell r="X425">
            <v>55</v>
          </cell>
          <cell r="Y425">
            <v>853.6</v>
          </cell>
          <cell r="Z425">
            <v>1</v>
          </cell>
          <cell r="AB425">
            <v>0</v>
          </cell>
        </row>
        <row r="426">
          <cell r="H426">
            <v>60</v>
          </cell>
          <cell r="I426">
            <v>23.71</v>
          </cell>
          <cell r="P426">
            <v>0</v>
          </cell>
          <cell r="R426">
            <v>1</v>
          </cell>
          <cell r="X426">
            <v>60</v>
          </cell>
          <cell r="Y426">
            <v>1422.6</v>
          </cell>
          <cell r="Z426">
            <v>1</v>
          </cell>
          <cell r="AB426">
            <v>0</v>
          </cell>
        </row>
        <row r="427">
          <cell r="H427">
            <v>60</v>
          </cell>
          <cell r="I427">
            <v>32.36</v>
          </cell>
          <cell r="P427">
            <v>0</v>
          </cell>
          <cell r="R427">
            <v>1</v>
          </cell>
          <cell r="X427">
            <v>60</v>
          </cell>
          <cell r="Y427">
            <v>1941.6</v>
          </cell>
          <cell r="Z427">
            <v>1</v>
          </cell>
          <cell r="AB427">
            <v>0</v>
          </cell>
        </row>
        <row r="428">
          <cell r="H428">
            <v>200</v>
          </cell>
          <cell r="I428">
            <v>39.64</v>
          </cell>
          <cell r="P428">
            <v>0</v>
          </cell>
          <cell r="R428">
            <v>1</v>
          </cell>
          <cell r="X428">
            <v>200</v>
          </cell>
          <cell r="Y428">
            <v>7928</v>
          </cell>
          <cell r="Z428">
            <v>1</v>
          </cell>
          <cell r="AB428">
            <v>0</v>
          </cell>
        </row>
        <row r="429">
          <cell r="H429">
            <v>180</v>
          </cell>
          <cell r="I429">
            <v>14.8</v>
          </cell>
          <cell r="P429">
            <v>0</v>
          </cell>
          <cell r="R429">
            <v>0</v>
          </cell>
          <cell r="X429">
            <v>180</v>
          </cell>
          <cell r="Y429">
            <v>2664</v>
          </cell>
          <cell r="Z429">
            <v>1</v>
          </cell>
          <cell r="AB429">
            <v>0</v>
          </cell>
        </row>
        <row r="430">
          <cell r="H430">
            <v>800</v>
          </cell>
          <cell r="I430">
            <v>1.01</v>
          </cell>
          <cell r="P430">
            <v>0</v>
          </cell>
          <cell r="R430">
            <v>0</v>
          </cell>
          <cell r="X430">
            <v>800</v>
          </cell>
          <cell r="Y430">
            <v>808</v>
          </cell>
          <cell r="Z430">
            <v>1</v>
          </cell>
          <cell r="AB430">
            <v>0</v>
          </cell>
        </row>
        <row r="431">
          <cell r="H431">
            <v>120</v>
          </cell>
          <cell r="I431">
            <v>1.35</v>
          </cell>
          <cell r="P431">
            <v>0</v>
          </cell>
          <cell r="R431">
            <v>0</v>
          </cell>
          <cell r="X431">
            <v>120</v>
          </cell>
          <cell r="Y431">
            <v>162</v>
          </cell>
          <cell r="Z431">
            <v>1</v>
          </cell>
          <cell r="AB431">
            <v>0</v>
          </cell>
        </row>
        <row r="432">
          <cell r="AB432">
            <v>0</v>
          </cell>
        </row>
        <row r="433">
          <cell r="AB433">
            <v>0</v>
          </cell>
        </row>
        <row r="434">
          <cell r="H434">
            <v>7200</v>
          </cell>
          <cell r="I434">
            <v>2.57</v>
          </cell>
          <cell r="P434">
            <v>0</v>
          </cell>
          <cell r="R434">
            <v>0.85</v>
          </cell>
          <cell r="X434">
            <v>7200</v>
          </cell>
          <cell r="Y434">
            <v>18504</v>
          </cell>
          <cell r="Z434">
            <v>1</v>
          </cell>
          <cell r="AB434">
            <v>0</v>
          </cell>
        </row>
        <row r="435">
          <cell r="H435">
            <v>750</v>
          </cell>
          <cell r="I435">
            <v>3.87</v>
          </cell>
          <cell r="P435">
            <v>0</v>
          </cell>
          <cell r="R435">
            <v>0.85</v>
          </cell>
          <cell r="X435">
            <v>750</v>
          </cell>
          <cell r="Y435">
            <v>2902.5</v>
          </cell>
          <cell r="Z435">
            <v>1</v>
          </cell>
          <cell r="AB435">
            <v>0</v>
          </cell>
        </row>
        <row r="436">
          <cell r="H436">
            <v>300</v>
          </cell>
          <cell r="I436">
            <v>5.35</v>
          </cell>
          <cell r="P436">
            <v>0</v>
          </cell>
          <cell r="R436">
            <v>0.85</v>
          </cell>
          <cell r="X436">
            <v>300</v>
          </cell>
          <cell r="Y436">
            <v>1605</v>
          </cell>
          <cell r="Z436">
            <v>1</v>
          </cell>
          <cell r="AB436">
            <v>0</v>
          </cell>
        </row>
        <row r="437">
          <cell r="AB437">
            <v>0</v>
          </cell>
        </row>
        <row r="438">
          <cell r="H438">
            <v>400</v>
          </cell>
          <cell r="I438">
            <v>5.57</v>
          </cell>
          <cell r="P438">
            <v>0</v>
          </cell>
          <cell r="R438">
            <v>0.75</v>
          </cell>
          <cell r="X438">
            <v>400</v>
          </cell>
          <cell r="Y438">
            <v>2228</v>
          </cell>
          <cell r="Z438">
            <v>1</v>
          </cell>
          <cell r="AB438">
            <v>0</v>
          </cell>
        </row>
        <row r="439">
          <cell r="H439">
            <v>100</v>
          </cell>
          <cell r="I439">
            <v>7.93</v>
          </cell>
          <cell r="P439">
            <v>0</v>
          </cell>
          <cell r="R439">
            <v>0.75</v>
          </cell>
          <cell r="X439">
            <v>100</v>
          </cell>
          <cell r="Y439">
            <v>793</v>
          </cell>
          <cell r="Z439">
            <v>1</v>
          </cell>
          <cell r="AB439">
            <v>0</v>
          </cell>
        </row>
        <row r="440">
          <cell r="H440">
            <v>500</v>
          </cell>
          <cell r="I440">
            <v>11.23</v>
          </cell>
          <cell r="P440">
            <v>0</v>
          </cell>
          <cell r="R440">
            <v>0.75</v>
          </cell>
          <cell r="X440">
            <v>500</v>
          </cell>
          <cell r="Y440">
            <v>5615</v>
          </cell>
          <cell r="Z440">
            <v>1</v>
          </cell>
          <cell r="AB440">
            <v>0</v>
          </cell>
        </row>
        <row r="441">
          <cell r="H441">
            <v>25</v>
          </cell>
          <cell r="I441">
            <v>16.440000000000001</v>
          </cell>
          <cell r="P441">
            <v>0</v>
          </cell>
          <cell r="R441">
            <v>0.8</v>
          </cell>
          <cell r="X441">
            <v>25</v>
          </cell>
          <cell r="Y441">
            <v>411</v>
          </cell>
          <cell r="Z441">
            <v>1</v>
          </cell>
          <cell r="AB441">
            <v>0</v>
          </cell>
        </row>
        <row r="442">
          <cell r="H442">
            <v>125</v>
          </cell>
          <cell r="I442">
            <v>22.06</v>
          </cell>
          <cell r="P442">
            <v>0</v>
          </cell>
          <cell r="R442">
            <v>0.8</v>
          </cell>
          <cell r="X442">
            <v>125</v>
          </cell>
          <cell r="Y442">
            <v>2757.5</v>
          </cell>
          <cell r="Z442">
            <v>1</v>
          </cell>
          <cell r="AB442">
            <v>0</v>
          </cell>
        </row>
        <row r="443">
          <cell r="H443">
            <v>130</v>
          </cell>
          <cell r="I443">
            <v>33.590000000000003</v>
          </cell>
          <cell r="P443">
            <v>0</v>
          </cell>
          <cell r="R443">
            <v>0.80769230769230771</v>
          </cell>
          <cell r="X443">
            <v>130</v>
          </cell>
          <cell r="Y443">
            <v>4366.7</v>
          </cell>
          <cell r="Z443">
            <v>1</v>
          </cell>
          <cell r="AB443">
            <v>0</v>
          </cell>
        </row>
        <row r="444">
          <cell r="AB444">
            <v>0</v>
          </cell>
        </row>
        <row r="445">
          <cell r="H445">
            <v>50</v>
          </cell>
          <cell r="I445">
            <v>1.4</v>
          </cell>
          <cell r="P445">
            <v>0</v>
          </cell>
          <cell r="R445">
            <v>1</v>
          </cell>
          <cell r="X445">
            <v>50</v>
          </cell>
          <cell r="Y445">
            <v>70</v>
          </cell>
          <cell r="Z445">
            <v>1</v>
          </cell>
          <cell r="AB445">
            <v>0</v>
          </cell>
        </row>
        <row r="446">
          <cell r="H446">
            <v>60</v>
          </cell>
          <cell r="I446">
            <v>6.87</v>
          </cell>
          <cell r="P446">
            <v>0</v>
          </cell>
          <cell r="R446">
            <v>1</v>
          </cell>
          <cell r="X446">
            <v>60</v>
          </cell>
          <cell r="Y446">
            <v>412.2</v>
          </cell>
          <cell r="Z446">
            <v>1</v>
          </cell>
          <cell r="AB446">
            <v>0</v>
          </cell>
        </row>
        <row r="447">
          <cell r="AB447">
            <v>0</v>
          </cell>
        </row>
        <row r="448">
          <cell r="H448">
            <v>8</v>
          </cell>
          <cell r="I448">
            <v>14.26</v>
          </cell>
          <cell r="P448">
            <v>0</v>
          </cell>
          <cell r="R448">
            <v>0</v>
          </cell>
          <cell r="X448">
            <v>8</v>
          </cell>
          <cell r="Y448">
            <v>114.08</v>
          </cell>
          <cell r="Z448">
            <v>1</v>
          </cell>
          <cell r="AB448">
            <v>0</v>
          </cell>
        </row>
        <row r="449">
          <cell r="H449">
            <v>12</v>
          </cell>
          <cell r="I449">
            <v>12.62</v>
          </cell>
          <cell r="P449">
            <v>0</v>
          </cell>
          <cell r="R449">
            <v>0</v>
          </cell>
          <cell r="X449">
            <v>12</v>
          </cell>
          <cell r="Y449">
            <v>151.44</v>
          </cell>
          <cell r="Z449">
            <v>1</v>
          </cell>
          <cell r="AB449">
            <v>0</v>
          </cell>
        </row>
        <row r="450">
          <cell r="H450">
            <v>14</v>
          </cell>
          <cell r="I450">
            <v>11.05</v>
          </cell>
          <cell r="P450">
            <v>0</v>
          </cell>
          <cell r="R450">
            <v>0</v>
          </cell>
          <cell r="X450">
            <v>14</v>
          </cell>
          <cell r="Y450">
            <v>154.69999999999999</v>
          </cell>
          <cell r="Z450">
            <v>1</v>
          </cell>
          <cell r="AB450">
            <v>0</v>
          </cell>
        </row>
        <row r="451">
          <cell r="H451">
            <v>3</v>
          </cell>
          <cell r="I451">
            <v>15.82</v>
          </cell>
          <cell r="P451">
            <v>0</v>
          </cell>
          <cell r="R451">
            <v>0</v>
          </cell>
          <cell r="X451">
            <v>3</v>
          </cell>
          <cell r="Y451">
            <v>47.46</v>
          </cell>
          <cell r="Z451">
            <v>1</v>
          </cell>
          <cell r="AB451">
            <v>0</v>
          </cell>
        </row>
        <row r="452">
          <cell r="H452">
            <v>5</v>
          </cell>
          <cell r="I452">
            <v>13.98</v>
          </cell>
          <cell r="P452">
            <v>0</v>
          </cell>
          <cell r="R452">
            <v>0</v>
          </cell>
          <cell r="X452">
            <v>5</v>
          </cell>
          <cell r="Y452">
            <v>69.900000000000006</v>
          </cell>
          <cell r="Z452">
            <v>1</v>
          </cell>
          <cell r="AB452">
            <v>0</v>
          </cell>
        </row>
        <row r="453">
          <cell r="H453">
            <v>8</v>
          </cell>
          <cell r="I453">
            <v>4.22</v>
          </cell>
          <cell r="P453">
            <v>0</v>
          </cell>
          <cell r="R453">
            <v>0</v>
          </cell>
          <cell r="X453">
            <v>8</v>
          </cell>
          <cell r="Y453">
            <v>33.76</v>
          </cell>
          <cell r="Z453">
            <v>1</v>
          </cell>
          <cell r="AB453">
            <v>0</v>
          </cell>
        </row>
        <row r="454">
          <cell r="H454">
            <v>14</v>
          </cell>
          <cell r="I454">
            <v>4.22</v>
          </cell>
          <cell r="P454">
            <v>0</v>
          </cell>
          <cell r="R454">
            <v>0</v>
          </cell>
          <cell r="X454">
            <v>14</v>
          </cell>
          <cell r="Y454">
            <v>59.08</v>
          </cell>
          <cell r="Z454">
            <v>1</v>
          </cell>
          <cell r="AB454">
            <v>0</v>
          </cell>
        </row>
        <row r="455">
          <cell r="H455">
            <v>20</v>
          </cell>
          <cell r="I455">
            <v>4.22</v>
          </cell>
          <cell r="P455">
            <v>0</v>
          </cell>
          <cell r="R455">
            <v>0</v>
          </cell>
          <cell r="X455">
            <v>20</v>
          </cell>
          <cell r="Y455">
            <v>84.4</v>
          </cell>
          <cell r="Z455">
            <v>1</v>
          </cell>
          <cell r="AB455">
            <v>0</v>
          </cell>
        </row>
        <row r="456">
          <cell r="H456">
            <v>300</v>
          </cell>
          <cell r="I456">
            <v>4.84</v>
          </cell>
          <cell r="P456">
            <v>0</v>
          </cell>
          <cell r="R456">
            <v>0</v>
          </cell>
          <cell r="X456">
            <v>300</v>
          </cell>
          <cell r="Y456">
            <v>1452</v>
          </cell>
          <cell r="Z456">
            <v>1</v>
          </cell>
          <cell r="AB456">
            <v>0</v>
          </cell>
        </row>
        <row r="457">
          <cell r="H457">
            <v>37</v>
          </cell>
          <cell r="I457">
            <v>6.3</v>
          </cell>
          <cell r="P457">
            <v>0</v>
          </cell>
          <cell r="R457">
            <v>0</v>
          </cell>
          <cell r="X457">
            <v>37</v>
          </cell>
          <cell r="Y457">
            <v>233.1</v>
          </cell>
          <cell r="Z457">
            <v>1</v>
          </cell>
          <cell r="AB457">
            <v>0</v>
          </cell>
        </row>
        <row r="458">
          <cell r="H458">
            <v>3</v>
          </cell>
          <cell r="I458">
            <v>55.06</v>
          </cell>
          <cell r="P458">
            <v>0</v>
          </cell>
          <cell r="R458">
            <v>0</v>
          </cell>
          <cell r="X458">
            <v>3</v>
          </cell>
          <cell r="Y458">
            <v>165.18</v>
          </cell>
          <cell r="Z458">
            <v>1</v>
          </cell>
          <cell r="AB458">
            <v>0</v>
          </cell>
        </row>
        <row r="459">
          <cell r="H459">
            <v>8</v>
          </cell>
          <cell r="I459">
            <v>53.83</v>
          </cell>
          <cell r="P459">
            <v>0</v>
          </cell>
          <cell r="R459">
            <v>0</v>
          </cell>
          <cell r="X459">
            <v>8</v>
          </cell>
          <cell r="Y459">
            <v>430.64</v>
          </cell>
          <cell r="Z459">
            <v>1</v>
          </cell>
          <cell r="AB459">
            <v>0</v>
          </cell>
        </row>
        <row r="460">
          <cell r="H460">
            <v>8</v>
          </cell>
          <cell r="I460">
            <v>178.34</v>
          </cell>
          <cell r="P460">
            <v>0</v>
          </cell>
          <cell r="R460">
            <v>0</v>
          </cell>
          <cell r="X460">
            <v>8</v>
          </cell>
          <cell r="Y460">
            <v>1426.72</v>
          </cell>
          <cell r="Z460">
            <v>1</v>
          </cell>
          <cell r="AB460">
            <v>0</v>
          </cell>
        </row>
        <row r="461">
          <cell r="AB461">
            <v>0</v>
          </cell>
        </row>
        <row r="462">
          <cell r="H462">
            <v>4</v>
          </cell>
          <cell r="I462">
            <v>1.8</v>
          </cell>
          <cell r="P462">
            <v>0</v>
          </cell>
          <cell r="R462">
            <v>1</v>
          </cell>
          <cell r="X462">
            <v>4</v>
          </cell>
          <cell r="Y462">
            <v>7.2</v>
          </cell>
          <cell r="Z462">
            <v>1</v>
          </cell>
          <cell r="AB462">
            <v>0</v>
          </cell>
        </row>
        <row r="463">
          <cell r="H463">
            <v>1</v>
          </cell>
          <cell r="I463">
            <v>1.8</v>
          </cell>
          <cell r="P463">
            <v>0</v>
          </cell>
          <cell r="R463">
            <v>1</v>
          </cell>
          <cell r="X463">
            <v>1</v>
          </cell>
          <cell r="Y463">
            <v>1.8</v>
          </cell>
          <cell r="Z463">
            <v>1</v>
          </cell>
          <cell r="AB463">
            <v>0</v>
          </cell>
        </row>
        <row r="464">
          <cell r="H464">
            <v>1</v>
          </cell>
          <cell r="I464">
            <v>63.1</v>
          </cell>
          <cell r="P464">
            <v>0</v>
          </cell>
          <cell r="R464">
            <v>1</v>
          </cell>
          <cell r="X464">
            <v>1</v>
          </cell>
          <cell r="Y464">
            <v>63.1</v>
          </cell>
          <cell r="Z464">
            <v>1</v>
          </cell>
          <cell r="AB464">
            <v>0</v>
          </cell>
        </row>
        <row r="465">
          <cell r="H465">
            <v>3</v>
          </cell>
          <cell r="I465">
            <v>36.4</v>
          </cell>
          <cell r="P465">
            <v>0</v>
          </cell>
          <cell r="R465">
            <v>1</v>
          </cell>
          <cell r="X465">
            <v>3</v>
          </cell>
          <cell r="Y465">
            <v>109.2</v>
          </cell>
          <cell r="Z465">
            <v>1</v>
          </cell>
          <cell r="AB465">
            <v>0</v>
          </cell>
        </row>
        <row r="466">
          <cell r="H466">
            <v>1</v>
          </cell>
          <cell r="I466">
            <v>67.900000000000006</v>
          </cell>
          <cell r="P466">
            <v>0</v>
          </cell>
          <cell r="R466">
            <v>1</v>
          </cell>
          <cell r="X466">
            <v>1</v>
          </cell>
          <cell r="Y466">
            <v>67.900000000000006</v>
          </cell>
          <cell r="Z466">
            <v>1</v>
          </cell>
          <cell r="AB466">
            <v>0</v>
          </cell>
        </row>
        <row r="467">
          <cell r="H467">
            <v>1</v>
          </cell>
          <cell r="I467">
            <v>74.2</v>
          </cell>
          <cell r="P467">
            <v>0</v>
          </cell>
          <cell r="R467">
            <v>1</v>
          </cell>
          <cell r="X467">
            <v>1</v>
          </cell>
          <cell r="Y467">
            <v>74.2</v>
          </cell>
          <cell r="Z467">
            <v>1</v>
          </cell>
          <cell r="AB467">
            <v>0</v>
          </cell>
        </row>
        <row r="468">
          <cell r="H468">
            <v>1</v>
          </cell>
          <cell r="I468">
            <v>68.5</v>
          </cell>
          <cell r="P468">
            <v>0</v>
          </cell>
          <cell r="R468">
            <v>1</v>
          </cell>
          <cell r="X468">
            <v>1</v>
          </cell>
          <cell r="Y468">
            <v>68.5</v>
          </cell>
          <cell r="Z468">
            <v>1</v>
          </cell>
          <cell r="AB468">
            <v>0</v>
          </cell>
        </row>
        <row r="469">
          <cell r="H469">
            <v>1</v>
          </cell>
          <cell r="I469">
            <v>67.900000000000006</v>
          </cell>
          <cell r="P469">
            <v>0</v>
          </cell>
          <cell r="R469">
            <v>1</v>
          </cell>
          <cell r="X469">
            <v>1</v>
          </cell>
          <cell r="Y469">
            <v>67.900000000000006</v>
          </cell>
          <cell r="Z469">
            <v>1</v>
          </cell>
          <cell r="AB469">
            <v>0</v>
          </cell>
        </row>
        <row r="470">
          <cell r="H470">
            <v>1</v>
          </cell>
          <cell r="I470">
            <v>51.1</v>
          </cell>
          <cell r="P470">
            <v>0</v>
          </cell>
          <cell r="R470">
            <v>1</v>
          </cell>
          <cell r="X470">
            <v>1</v>
          </cell>
          <cell r="Y470">
            <v>51.1</v>
          </cell>
          <cell r="Z470">
            <v>1</v>
          </cell>
          <cell r="AB470">
            <v>0</v>
          </cell>
        </row>
        <row r="471">
          <cell r="H471">
            <v>1</v>
          </cell>
          <cell r="I471">
            <v>51.1</v>
          </cell>
          <cell r="P471">
            <v>0</v>
          </cell>
          <cell r="R471">
            <v>1</v>
          </cell>
          <cell r="X471">
            <v>1</v>
          </cell>
          <cell r="Y471">
            <v>51.1</v>
          </cell>
          <cell r="Z471">
            <v>1</v>
          </cell>
          <cell r="AB471">
            <v>0</v>
          </cell>
        </row>
        <row r="472">
          <cell r="H472">
            <v>3</v>
          </cell>
          <cell r="I472">
            <v>77.599999999999994</v>
          </cell>
          <cell r="P472">
            <v>0</v>
          </cell>
          <cell r="R472">
            <v>1</v>
          </cell>
          <cell r="X472">
            <v>3</v>
          </cell>
          <cell r="Y472">
            <v>232.8</v>
          </cell>
          <cell r="Z472">
            <v>1</v>
          </cell>
          <cell r="AB472">
            <v>0</v>
          </cell>
        </row>
        <row r="473">
          <cell r="H473">
            <v>2</v>
          </cell>
          <cell r="I473">
            <v>77.599999999999994</v>
          </cell>
          <cell r="P473">
            <v>0</v>
          </cell>
          <cell r="R473">
            <v>1</v>
          </cell>
          <cell r="X473">
            <v>2</v>
          </cell>
          <cell r="Y473">
            <v>155.19999999999999</v>
          </cell>
          <cell r="Z473">
            <v>1</v>
          </cell>
          <cell r="AB473">
            <v>0</v>
          </cell>
        </row>
        <row r="474">
          <cell r="AB474">
            <v>0</v>
          </cell>
        </row>
        <row r="475">
          <cell r="H475">
            <v>51</v>
          </cell>
          <cell r="I475">
            <v>11.65</v>
          </cell>
          <cell r="P475">
            <v>0</v>
          </cell>
          <cell r="R475">
            <v>0.29411764705882354</v>
          </cell>
          <cell r="X475">
            <v>51</v>
          </cell>
          <cell r="Y475">
            <v>594.15</v>
          </cell>
          <cell r="Z475">
            <v>1</v>
          </cell>
          <cell r="AB475">
            <v>0</v>
          </cell>
        </row>
        <row r="476">
          <cell r="H476">
            <v>2</v>
          </cell>
          <cell r="I476">
            <v>11.65</v>
          </cell>
          <cell r="P476">
            <v>0</v>
          </cell>
          <cell r="R476">
            <v>1</v>
          </cell>
          <cell r="X476">
            <v>2</v>
          </cell>
          <cell r="Y476">
            <v>23.3</v>
          </cell>
          <cell r="Z476">
            <v>1</v>
          </cell>
          <cell r="AB476">
            <v>0</v>
          </cell>
        </row>
        <row r="477">
          <cell r="H477">
            <v>1</v>
          </cell>
          <cell r="I477">
            <v>55.43</v>
          </cell>
          <cell r="P477">
            <v>0</v>
          </cell>
          <cell r="R477">
            <v>0</v>
          </cell>
          <cell r="X477">
            <v>1</v>
          </cell>
          <cell r="Y477">
            <v>55.43</v>
          </cell>
          <cell r="Z477">
            <v>1</v>
          </cell>
          <cell r="AB477">
            <v>0</v>
          </cell>
        </row>
        <row r="478">
          <cell r="H478">
            <v>27</v>
          </cell>
          <cell r="I478">
            <v>55.43</v>
          </cell>
          <cell r="P478">
            <v>0</v>
          </cell>
          <cell r="R478">
            <v>0.29629629629629628</v>
          </cell>
          <cell r="X478">
            <v>27</v>
          </cell>
          <cell r="Y478">
            <v>1496.61</v>
          </cell>
          <cell r="Z478">
            <v>1</v>
          </cell>
          <cell r="AB478">
            <v>0</v>
          </cell>
        </row>
        <row r="479">
          <cell r="H479">
            <v>1</v>
          </cell>
          <cell r="I479">
            <v>67.150000000000006</v>
          </cell>
          <cell r="P479">
            <v>0</v>
          </cell>
          <cell r="R479">
            <v>0</v>
          </cell>
          <cell r="X479">
            <v>1</v>
          </cell>
          <cell r="Y479">
            <v>67.150000000000006</v>
          </cell>
          <cell r="Z479">
            <v>1</v>
          </cell>
          <cell r="AB479">
            <v>0</v>
          </cell>
        </row>
        <row r="480">
          <cell r="H480">
            <v>1</v>
          </cell>
          <cell r="I480">
            <v>94.04</v>
          </cell>
          <cell r="P480">
            <v>0</v>
          </cell>
          <cell r="R480">
            <v>0</v>
          </cell>
          <cell r="X480">
            <v>1</v>
          </cell>
          <cell r="Y480">
            <v>94.04</v>
          </cell>
          <cell r="Z480">
            <v>1</v>
          </cell>
          <cell r="AB480">
            <v>0</v>
          </cell>
        </row>
        <row r="481">
          <cell r="H481">
            <v>2</v>
          </cell>
          <cell r="I481">
            <v>67.150000000000006</v>
          </cell>
          <cell r="P481">
            <v>0</v>
          </cell>
          <cell r="R481">
            <v>0</v>
          </cell>
          <cell r="X481">
            <v>2</v>
          </cell>
          <cell r="Y481">
            <v>134.30000000000001</v>
          </cell>
          <cell r="Z481">
            <v>1</v>
          </cell>
          <cell r="AB481">
            <v>0</v>
          </cell>
        </row>
        <row r="482">
          <cell r="H482">
            <v>1</v>
          </cell>
          <cell r="I482">
            <v>67.150000000000006</v>
          </cell>
          <cell r="P482">
            <v>0</v>
          </cell>
          <cell r="R482">
            <v>0</v>
          </cell>
          <cell r="X482">
            <v>1</v>
          </cell>
          <cell r="Y482">
            <v>67.150000000000006</v>
          </cell>
          <cell r="Z482">
            <v>1</v>
          </cell>
          <cell r="AB482">
            <v>0</v>
          </cell>
        </row>
        <row r="483">
          <cell r="H483">
            <v>2</v>
          </cell>
          <cell r="I483">
            <v>67.150000000000006</v>
          </cell>
          <cell r="P483">
            <v>0</v>
          </cell>
          <cell r="R483">
            <v>1</v>
          </cell>
          <cell r="X483">
            <v>2</v>
          </cell>
          <cell r="Y483">
            <v>134.30000000000001</v>
          </cell>
          <cell r="Z483">
            <v>1</v>
          </cell>
          <cell r="AB483">
            <v>0</v>
          </cell>
        </row>
        <row r="484">
          <cell r="H484">
            <v>1</v>
          </cell>
          <cell r="I484">
            <v>67.150000000000006</v>
          </cell>
          <cell r="P484">
            <v>0</v>
          </cell>
          <cell r="R484">
            <v>1</v>
          </cell>
          <cell r="V484">
            <v>2</v>
          </cell>
          <cell r="W484">
            <v>134.30000000000001</v>
          </cell>
          <cell r="X484">
            <v>3</v>
          </cell>
          <cell r="Y484">
            <v>201.45</v>
          </cell>
          <cell r="Z484">
            <v>2.9999999999999996</v>
          </cell>
          <cell r="AB484">
            <v>0</v>
          </cell>
        </row>
        <row r="485">
          <cell r="H485">
            <v>2</v>
          </cell>
          <cell r="I485">
            <v>94.04</v>
          </cell>
          <cell r="P485">
            <v>0</v>
          </cell>
          <cell r="R485">
            <v>0.5</v>
          </cell>
          <cell r="X485">
            <v>2</v>
          </cell>
          <cell r="Y485">
            <v>188.08</v>
          </cell>
          <cell r="Z485">
            <v>1</v>
          </cell>
          <cell r="AB485">
            <v>0</v>
          </cell>
        </row>
        <row r="486">
          <cell r="H486">
            <v>2</v>
          </cell>
          <cell r="I486">
            <v>238.93</v>
          </cell>
          <cell r="P486">
            <v>0</v>
          </cell>
          <cell r="R486">
            <v>1</v>
          </cell>
          <cell r="V486">
            <v>1</v>
          </cell>
          <cell r="W486">
            <v>238.93</v>
          </cell>
          <cell r="X486">
            <v>3</v>
          </cell>
          <cell r="Y486">
            <v>716.79</v>
          </cell>
          <cell r="Z486">
            <v>1.4999999999999998</v>
          </cell>
          <cell r="AB486">
            <v>0</v>
          </cell>
        </row>
        <row r="487">
          <cell r="H487">
            <v>1</v>
          </cell>
          <cell r="I487">
            <v>1287.31</v>
          </cell>
          <cell r="P487">
            <v>0</v>
          </cell>
          <cell r="R487">
            <v>1</v>
          </cell>
          <cell r="X487">
            <v>1</v>
          </cell>
          <cell r="Y487">
            <v>1287.31</v>
          </cell>
          <cell r="Z487">
            <v>1</v>
          </cell>
          <cell r="AB487">
            <v>0</v>
          </cell>
        </row>
        <row r="488">
          <cell r="H488">
            <v>70</v>
          </cell>
          <cell r="I488">
            <v>100</v>
          </cell>
          <cell r="P488">
            <v>0</v>
          </cell>
          <cell r="R488">
            <v>0.45714285714285713</v>
          </cell>
          <cell r="X488">
            <v>70</v>
          </cell>
          <cell r="Y488">
            <v>7000</v>
          </cell>
          <cell r="Z488">
            <v>1</v>
          </cell>
          <cell r="AB488">
            <v>0</v>
          </cell>
        </row>
        <row r="489">
          <cell r="H489">
            <v>1</v>
          </cell>
          <cell r="I489">
            <v>105</v>
          </cell>
          <cell r="P489">
            <v>0</v>
          </cell>
          <cell r="R489">
            <v>1</v>
          </cell>
          <cell r="X489">
            <v>1</v>
          </cell>
          <cell r="Y489">
            <v>105</v>
          </cell>
          <cell r="Z489">
            <v>1</v>
          </cell>
          <cell r="AB489">
            <v>0</v>
          </cell>
        </row>
        <row r="490">
          <cell r="H490">
            <v>4</v>
          </cell>
          <cell r="I490">
            <v>69.5</v>
          </cell>
          <cell r="P490">
            <v>0</v>
          </cell>
          <cell r="R490">
            <v>1</v>
          </cell>
          <cell r="X490">
            <v>4</v>
          </cell>
          <cell r="Y490">
            <v>278</v>
          </cell>
          <cell r="Z490">
            <v>1</v>
          </cell>
          <cell r="AB490">
            <v>0</v>
          </cell>
        </row>
        <row r="491">
          <cell r="AB491">
            <v>0</v>
          </cell>
        </row>
        <row r="492">
          <cell r="U492">
            <v>0</v>
          </cell>
          <cell r="W492">
            <v>0</v>
          </cell>
          <cell r="Y492">
            <v>22427.579999999998</v>
          </cell>
          <cell r="Z492">
            <v>1</v>
          </cell>
          <cell r="AB492">
            <v>0</v>
          </cell>
        </row>
        <row r="493">
          <cell r="AB493">
            <v>0</v>
          </cell>
        </row>
        <row r="494">
          <cell r="H494">
            <v>116</v>
          </cell>
          <cell r="I494">
            <v>82.44</v>
          </cell>
          <cell r="P494">
            <v>0</v>
          </cell>
          <cell r="R494">
            <v>0.45689655172413796</v>
          </cell>
          <cell r="X494">
            <v>116</v>
          </cell>
          <cell r="Y494">
            <v>9563.0400000000009</v>
          </cell>
          <cell r="Z494">
            <v>1</v>
          </cell>
          <cell r="AB494">
            <v>0</v>
          </cell>
        </row>
        <row r="495">
          <cell r="H495">
            <v>19</v>
          </cell>
          <cell r="I495">
            <v>76.209999999999994</v>
          </cell>
          <cell r="P495">
            <v>0</v>
          </cell>
          <cell r="R495">
            <v>0.21052631578947367</v>
          </cell>
          <cell r="X495">
            <v>19</v>
          </cell>
          <cell r="Y495">
            <v>1447.99</v>
          </cell>
          <cell r="Z495">
            <v>1</v>
          </cell>
          <cell r="AB495">
            <v>0</v>
          </cell>
        </row>
        <row r="496">
          <cell r="H496">
            <v>12</v>
          </cell>
          <cell r="I496">
            <v>66.569999999999993</v>
          </cell>
          <cell r="P496">
            <v>0</v>
          </cell>
          <cell r="R496">
            <v>0</v>
          </cell>
          <cell r="X496">
            <v>12</v>
          </cell>
          <cell r="Y496">
            <v>798.84</v>
          </cell>
          <cell r="Z496">
            <v>1</v>
          </cell>
          <cell r="AB496">
            <v>0</v>
          </cell>
        </row>
        <row r="497">
          <cell r="H497">
            <v>18</v>
          </cell>
          <cell r="I497">
            <v>71.53</v>
          </cell>
          <cell r="P497">
            <v>0</v>
          </cell>
          <cell r="R497">
            <v>0</v>
          </cell>
          <cell r="X497">
            <v>18</v>
          </cell>
          <cell r="Y497">
            <v>1287.54</v>
          </cell>
          <cell r="Z497">
            <v>1</v>
          </cell>
          <cell r="AB497">
            <v>0</v>
          </cell>
        </row>
        <row r="498">
          <cell r="H498">
            <v>2</v>
          </cell>
          <cell r="I498">
            <v>204.01</v>
          </cell>
          <cell r="P498">
            <v>0</v>
          </cell>
          <cell r="R498">
            <v>0</v>
          </cell>
          <cell r="X498">
            <v>2</v>
          </cell>
          <cell r="Y498">
            <v>408.02</v>
          </cell>
          <cell r="Z498">
            <v>1</v>
          </cell>
          <cell r="AB498">
            <v>0</v>
          </cell>
        </row>
        <row r="499">
          <cell r="H499">
            <v>4</v>
          </cell>
          <cell r="I499">
            <v>178.03</v>
          </cell>
          <cell r="P499">
            <v>0</v>
          </cell>
          <cell r="R499">
            <v>0</v>
          </cell>
          <cell r="X499">
            <v>4</v>
          </cell>
          <cell r="Y499">
            <v>712.12</v>
          </cell>
          <cell r="Z499">
            <v>1</v>
          </cell>
          <cell r="AB499">
            <v>0</v>
          </cell>
        </row>
        <row r="500">
          <cell r="H500">
            <v>5</v>
          </cell>
          <cell r="I500">
            <v>3.2</v>
          </cell>
          <cell r="P500">
            <v>0</v>
          </cell>
          <cell r="R500">
            <v>0</v>
          </cell>
          <cell r="X500">
            <v>5</v>
          </cell>
          <cell r="Y500">
            <v>16</v>
          </cell>
          <cell r="Z500">
            <v>1</v>
          </cell>
          <cell r="AB500">
            <v>0</v>
          </cell>
        </row>
        <row r="501">
          <cell r="AB501">
            <v>0</v>
          </cell>
        </row>
        <row r="502">
          <cell r="H502">
            <v>1</v>
          </cell>
          <cell r="I502">
            <v>9.51</v>
          </cell>
          <cell r="P502">
            <v>0</v>
          </cell>
          <cell r="R502">
            <v>1</v>
          </cell>
          <cell r="X502">
            <v>1</v>
          </cell>
          <cell r="Y502">
            <v>9.51</v>
          </cell>
          <cell r="Z502">
            <v>1</v>
          </cell>
          <cell r="AB502">
            <v>0</v>
          </cell>
        </row>
        <row r="503">
          <cell r="H503">
            <v>49</v>
          </cell>
          <cell r="I503">
            <v>9.51</v>
          </cell>
          <cell r="P503">
            <v>0</v>
          </cell>
          <cell r="R503">
            <v>0.81632653061224492</v>
          </cell>
          <cell r="X503">
            <v>49</v>
          </cell>
          <cell r="Y503">
            <v>465.99</v>
          </cell>
          <cell r="Z503">
            <v>1</v>
          </cell>
          <cell r="AB503">
            <v>0</v>
          </cell>
        </row>
        <row r="504">
          <cell r="H504">
            <v>2</v>
          </cell>
          <cell r="I504">
            <v>19.05</v>
          </cell>
          <cell r="P504">
            <v>0</v>
          </cell>
          <cell r="R504">
            <v>1</v>
          </cell>
          <cell r="X504">
            <v>2</v>
          </cell>
          <cell r="Y504">
            <v>38.1</v>
          </cell>
          <cell r="Z504">
            <v>1</v>
          </cell>
          <cell r="AB504">
            <v>0</v>
          </cell>
        </row>
        <row r="505">
          <cell r="H505">
            <v>5</v>
          </cell>
          <cell r="I505">
            <v>28.63</v>
          </cell>
          <cell r="P505">
            <v>0</v>
          </cell>
          <cell r="R505">
            <v>1</v>
          </cell>
          <cell r="X505">
            <v>5</v>
          </cell>
          <cell r="Y505">
            <v>143.15</v>
          </cell>
          <cell r="Z505">
            <v>1</v>
          </cell>
          <cell r="AB505">
            <v>0</v>
          </cell>
        </row>
        <row r="506">
          <cell r="H506">
            <v>2</v>
          </cell>
          <cell r="I506">
            <v>11.74</v>
          </cell>
          <cell r="P506">
            <v>0</v>
          </cell>
          <cell r="R506">
            <v>1</v>
          </cell>
          <cell r="X506">
            <v>2</v>
          </cell>
          <cell r="Y506">
            <v>23.48</v>
          </cell>
          <cell r="Z506">
            <v>1</v>
          </cell>
          <cell r="AB506">
            <v>0</v>
          </cell>
        </row>
        <row r="507">
          <cell r="H507">
            <v>18</v>
          </cell>
          <cell r="I507">
            <v>28.76</v>
          </cell>
          <cell r="P507">
            <v>0</v>
          </cell>
          <cell r="R507">
            <v>1</v>
          </cell>
          <cell r="X507">
            <v>18</v>
          </cell>
          <cell r="Y507">
            <v>517.67999999999995</v>
          </cell>
          <cell r="Z507">
            <v>1</v>
          </cell>
          <cell r="AB507">
            <v>0</v>
          </cell>
        </row>
        <row r="508">
          <cell r="H508">
            <v>2</v>
          </cell>
          <cell r="I508">
            <v>8.5</v>
          </cell>
          <cell r="P508">
            <v>0</v>
          </cell>
          <cell r="R508">
            <v>1</v>
          </cell>
          <cell r="X508">
            <v>2</v>
          </cell>
          <cell r="Y508">
            <v>17</v>
          </cell>
          <cell r="Z508">
            <v>1</v>
          </cell>
          <cell r="AB508">
            <v>0</v>
          </cell>
        </row>
        <row r="509">
          <cell r="H509">
            <v>1</v>
          </cell>
          <cell r="I509">
            <v>9.6</v>
          </cell>
          <cell r="P509">
            <v>0</v>
          </cell>
          <cell r="R509">
            <v>0</v>
          </cell>
          <cell r="X509">
            <v>1</v>
          </cell>
          <cell r="Y509">
            <v>9.6</v>
          </cell>
          <cell r="Z509">
            <v>1</v>
          </cell>
          <cell r="AB509">
            <v>0</v>
          </cell>
        </row>
        <row r="510">
          <cell r="H510">
            <v>6</v>
          </cell>
          <cell r="I510">
            <v>9.6</v>
          </cell>
          <cell r="P510">
            <v>0</v>
          </cell>
          <cell r="R510">
            <v>0</v>
          </cell>
          <cell r="X510">
            <v>6</v>
          </cell>
          <cell r="Y510">
            <v>57.6</v>
          </cell>
          <cell r="Z510">
            <v>1</v>
          </cell>
          <cell r="AB510">
            <v>0</v>
          </cell>
        </row>
        <row r="511">
          <cell r="H511">
            <v>49</v>
          </cell>
          <cell r="I511">
            <v>3.17</v>
          </cell>
          <cell r="P511">
            <v>0</v>
          </cell>
          <cell r="R511">
            <v>0</v>
          </cell>
          <cell r="X511">
            <v>49</v>
          </cell>
          <cell r="Y511">
            <v>155.33000000000001</v>
          </cell>
          <cell r="Z511">
            <v>1</v>
          </cell>
          <cell r="AB511">
            <v>0</v>
          </cell>
        </row>
        <row r="512">
          <cell r="H512">
            <v>20</v>
          </cell>
          <cell r="I512">
            <v>3.17</v>
          </cell>
          <cell r="P512">
            <v>0</v>
          </cell>
          <cell r="R512">
            <v>0</v>
          </cell>
          <cell r="X512">
            <v>20</v>
          </cell>
          <cell r="Y512">
            <v>63.4</v>
          </cell>
          <cell r="Z512">
            <v>1</v>
          </cell>
          <cell r="AB512">
            <v>0</v>
          </cell>
        </row>
        <row r="513">
          <cell r="H513">
            <v>5</v>
          </cell>
          <cell r="I513">
            <v>3.17</v>
          </cell>
          <cell r="P513">
            <v>0</v>
          </cell>
          <cell r="R513">
            <v>0</v>
          </cell>
          <cell r="X513">
            <v>5</v>
          </cell>
          <cell r="Y513">
            <v>15.85</v>
          </cell>
          <cell r="Z513">
            <v>1</v>
          </cell>
          <cell r="AB513">
            <v>0</v>
          </cell>
        </row>
        <row r="514">
          <cell r="H514">
            <v>1</v>
          </cell>
          <cell r="I514">
            <v>5.83</v>
          </cell>
          <cell r="P514">
            <v>0</v>
          </cell>
          <cell r="R514">
            <v>0</v>
          </cell>
          <cell r="X514">
            <v>1</v>
          </cell>
          <cell r="Y514">
            <v>5.83</v>
          </cell>
          <cell r="Z514">
            <v>1</v>
          </cell>
          <cell r="AB514">
            <v>0</v>
          </cell>
        </row>
        <row r="515">
          <cell r="AB515">
            <v>0</v>
          </cell>
        </row>
        <row r="516">
          <cell r="H516">
            <v>14</v>
          </cell>
          <cell r="I516">
            <v>21.98</v>
          </cell>
          <cell r="P516">
            <v>0</v>
          </cell>
          <cell r="R516">
            <v>1</v>
          </cell>
          <cell r="X516">
            <v>14</v>
          </cell>
          <cell r="Y516">
            <v>307.72000000000003</v>
          </cell>
          <cell r="Z516">
            <v>1</v>
          </cell>
          <cell r="AB516">
            <v>0</v>
          </cell>
        </row>
        <row r="517">
          <cell r="H517">
            <v>7</v>
          </cell>
          <cell r="I517">
            <v>7.5</v>
          </cell>
          <cell r="P517">
            <v>0</v>
          </cell>
          <cell r="R517">
            <v>1</v>
          </cell>
          <cell r="X517">
            <v>7</v>
          </cell>
          <cell r="Y517">
            <v>52.5</v>
          </cell>
          <cell r="Z517">
            <v>1</v>
          </cell>
          <cell r="AB517">
            <v>0</v>
          </cell>
        </row>
        <row r="518">
          <cell r="H518">
            <v>191</v>
          </cell>
          <cell r="I518">
            <v>21.98</v>
          </cell>
          <cell r="P518">
            <v>0</v>
          </cell>
          <cell r="R518">
            <v>1</v>
          </cell>
          <cell r="X518">
            <v>191</v>
          </cell>
          <cell r="Y518">
            <v>4198.18</v>
          </cell>
          <cell r="Z518">
            <v>1</v>
          </cell>
          <cell r="AB518">
            <v>0</v>
          </cell>
        </row>
        <row r="519">
          <cell r="H519">
            <v>8</v>
          </cell>
          <cell r="I519">
            <v>32.54</v>
          </cell>
          <cell r="P519">
            <v>0</v>
          </cell>
          <cell r="R519">
            <v>1</v>
          </cell>
          <cell r="X519">
            <v>8</v>
          </cell>
          <cell r="Y519">
            <v>260.32</v>
          </cell>
          <cell r="Z519">
            <v>1</v>
          </cell>
          <cell r="AB519">
            <v>0</v>
          </cell>
        </row>
        <row r="520">
          <cell r="H520">
            <v>191</v>
          </cell>
          <cell r="I520">
            <v>3.17</v>
          </cell>
          <cell r="P520">
            <v>0</v>
          </cell>
          <cell r="R520">
            <v>0</v>
          </cell>
          <cell r="X520">
            <v>191</v>
          </cell>
          <cell r="Y520">
            <v>605.47</v>
          </cell>
          <cell r="Z520">
            <v>1</v>
          </cell>
          <cell r="AB520">
            <v>0</v>
          </cell>
        </row>
        <row r="521">
          <cell r="H521">
            <v>28</v>
          </cell>
          <cell r="I521">
            <v>3.17</v>
          </cell>
          <cell r="P521">
            <v>0</v>
          </cell>
          <cell r="R521">
            <v>0</v>
          </cell>
          <cell r="X521">
            <v>28</v>
          </cell>
          <cell r="Y521">
            <v>88.76</v>
          </cell>
          <cell r="Z521">
            <v>1</v>
          </cell>
          <cell r="AB521">
            <v>0</v>
          </cell>
        </row>
        <row r="522">
          <cell r="AB522">
            <v>0</v>
          </cell>
        </row>
        <row r="523">
          <cell r="H523">
            <v>64</v>
          </cell>
          <cell r="I523">
            <v>10.74</v>
          </cell>
          <cell r="P523">
            <v>0</v>
          </cell>
          <cell r="R523">
            <v>0</v>
          </cell>
          <cell r="X523">
            <v>64</v>
          </cell>
          <cell r="Y523">
            <v>687.36</v>
          </cell>
          <cell r="Z523">
            <v>1</v>
          </cell>
          <cell r="AB523">
            <v>0</v>
          </cell>
        </row>
        <row r="524">
          <cell r="H524">
            <v>1200</v>
          </cell>
          <cell r="I524">
            <v>0.18</v>
          </cell>
          <cell r="P524">
            <v>0</v>
          </cell>
          <cell r="R524">
            <v>0</v>
          </cell>
          <cell r="X524">
            <v>1200</v>
          </cell>
          <cell r="Y524">
            <v>216</v>
          </cell>
          <cell r="Z524">
            <v>1</v>
          </cell>
          <cell r="AB524">
            <v>0</v>
          </cell>
        </row>
        <row r="525">
          <cell r="H525">
            <v>32</v>
          </cell>
          <cell r="I525">
            <v>0.5</v>
          </cell>
          <cell r="P525">
            <v>0</v>
          </cell>
          <cell r="R525">
            <v>0</v>
          </cell>
          <cell r="X525">
            <v>32</v>
          </cell>
          <cell r="Y525">
            <v>16</v>
          </cell>
          <cell r="Z525">
            <v>1</v>
          </cell>
          <cell r="AB525">
            <v>0</v>
          </cell>
        </row>
        <row r="526">
          <cell r="H526">
            <v>32</v>
          </cell>
          <cell r="I526">
            <v>0.8</v>
          </cell>
          <cell r="P526">
            <v>0</v>
          </cell>
          <cell r="R526">
            <v>0</v>
          </cell>
          <cell r="X526">
            <v>32</v>
          </cell>
          <cell r="Y526">
            <v>25.6</v>
          </cell>
          <cell r="Z526">
            <v>1</v>
          </cell>
          <cell r="AB526">
            <v>0</v>
          </cell>
        </row>
        <row r="527">
          <cell r="H527">
            <v>300</v>
          </cell>
          <cell r="I527">
            <v>0.06</v>
          </cell>
          <cell r="P527">
            <v>0</v>
          </cell>
          <cell r="R527">
            <v>0</v>
          </cell>
          <cell r="X527">
            <v>300</v>
          </cell>
          <cell r="Y527">
            <v>18</v>
          </cell>
          <cell r="Z527">
            <v>1</v>
          </cell>
          <cell r="AB527">
            <v>0</v>
          </cell>
        </row>
        <row r="528">
          <cell r="H528">
            <v>120</v>
          </cell>
          <cell r="I528">
            <v>1.63</v>
          </cell>
          <cell r="P528">
            <v>0</v>
          </cell>
          <cell r="R528">
            <v>0</v>
          </cell>
          <cell r="X528">
            <v>120</v>
          </cell>
          <cell r="Y528">
            <v>195.6</v>
          </cell>
          <cell r="Z528">
            <v>1</v>
          </cell>
          <cell r="AB528">
            <v>0</v>
          </cell>
        </row>
        <row r="529">
          <cell r="AB529">
            <v>0</v>
          </cell>
        </row>
        <row r="530">
          <cell r="U530">
            <v>0</v>
          </cell>
          <cell r="W530">
            <v>9566.59</v>
          </cell>
          <cell r="Y530">
            <v>21570.210000000003</v>
          </cell>
          <cell r="Z530">
            <v>1.7969769094464085</v>
          </cell>
          <cell r="AB530">
            <v>0</v>
          </cell>
        </row>
        <row r="531">
          <cell r="AB531">
            <v>0</v>
          </cell>
        </row>
        <row r="532">
          <cell r="H532">
            <v>1</v>
          </cell>
          <cell r="I532">
            <v>52.64</v>
          </cell>
          <cell r="P532">
            <v>0</v>
          </cell>
          <cell r="R532">
            <v>0</v>
          </cell>
          <cell r="X532">
            <v>1</v>
          </cell>
          <cell r="Y532">
            <v>52.64</v>
          </cell>
          <cell r="Z532">
            <v>1</v>
          </cell>
          <cell r="AB532">
            <v>0</v>
          </cell>
        </row>
        <row r="533">
          <cell r="H533">
            <v>243.89</v>
          </cell>
          <cell r="I533">
            <v>31.37</v>
          </cell>
          <cell r="P533">
            <v>0</v>
          </cell>
          <cell r="R533">
            <v>0</v>
          </cell>
          <cell r="V533">
            <v>304.96000000000004</v>
          </cell>
          <cell r="W533">
            <v>9566.59</v>
          </cell>
          <cell r="X533">
            <v>548.85</v>
          </cell>
          <cell r="Y533">
            <v>17217.419999999998</v>
          </cell>
          <cell r="Z533">
            <v>2.2504019177029391</v>
          </cell>
          <cell r="AB533">
            <v>0</v>
          </cell>
        </row>
        <row r="534">
          <cell r="H534">
            <v>12</v>
          </cell>
          <cell r="I534">
            <v>27.78</v>
          </cell>
          <cell r="P534">
            <v>0</v>
          </cell>
          <cell r="R534">
            <v>0</v>
          </cell>
          <cell r="X534">
            <v>12</v>
          </cell>
          <cell r="Y534">
            <v>333.36</v>
          </cell>
          <cell r="Z534">
            <v>1</v>
          </cell>
          <cell r="AB534">
            <v>0</v>
          </cell>
        </row>
        <row r="535">
          <cell r="AB535">
            <v>0</v>
          </cell>
        </row>
        <row r="536">
          <cell r="H536">
            <v>2</v>
          </cell>
          <cell r="I536">
            <v>3.6</v>
          </cell>
          <cell r="P536">
            <v>0</v>
          </cell>
          <cell r="R536">
            <v>0</v>
          </cell>
          <cell r="X536">
            <v>2</v>
          </cell>
          <cell r="Y536">
            <v>7.2</v>
          </cell>
          <cell r="Z536">
            <v>1</v>
          </cell>
          <cell r="AB536">
            <v>0</v>
          </cell>
        </row>
        <row r="537">
          <cell r="H537">
            <v>40</v>
          </cell>
          <cell r="I537">
            <v>8.48</v>
          </cell>
          <cell r="P537">
            <v>0</v>
          </cell>
          <cell r="R537">
            <v>0</v>
          </cell>
          <cell r="X537">
            <v>40</v>
          </cell>
          <cell r="Y537">
            <v>339.2</v>
          </cell>
          <cell r="Z537">
            <v>1</v>
          </cell>
          <cell r="AB537">
            <v>0</v>
          </cell>
        </row>
        <row r="538">
          <cell r="H538">
            <v>76</v>
          </cell>
          <cell r="I538">
            <v>11.33</v>
          </cell>
          <cell r="P538">
            <v>0</v>
          </cell>
          <cell r="R538">
            <v>0</v>
          </cell>
          <cell r="X538">
            <v>76</v>
          </cell>
          <cell r="Y538">
            <v>861.08</v>
          </cell>
          <cell r="Z538">
            <v>1</v>
          </cell>
          <cell r="AB538">
            <v>0</v>
          </cell>
        </row>
        <row r="539">
          <cell r="H539" t="str">
            <v xml:space="preserve">                                   -   </v>
          </cell>
          <cell r="I539">
            <v>3.6</v>
          </cell>
          <cell r="AB539">
            <v>0</v>
          </cell>
        </row>
        <row r="540">
          <cell r="AB540">
            <v>0</v>
          </cell>
        </row>
        <row r="541">
          <cell r="H541" t="str">
            <v xml:space="preserve">                                   -   </v>
          </cell>
          <cell r="I541">
            <v>27.78</v>
          </cell>
          <cell r="AB541">
            <v>0</v>
          </cell>
        </row>
        <row r="542">
          <cell r="AB542">
            <v>0</v>
          </cell>
        </row>
        <row r="543">
          <cell r="H543" t="str">
            <v xml:space="preserve">                                   -   </v>
          </cell>
          <cell r="I543">
            <v>27.78</v>
          </cell>
          <cell r="AB543">
            <v>0</v>
          </cell>
        </row>
        <row r="544">
          <cell r="H544">
            <v>2</v>
          </cell>
          <cell r="I544">
            <v>43.42</v>
          </cell>
          <cell r="P544">
            <v>0</v>
          </cell>
          <cell r="R544">
            <v>0</v>
          </cell>
          <cell r="X544">
            <v>2</v>
          </cell>
          <cell r="Y544">
            <v>86.84</v>
          </cell>
          <cell r="Z544">
            <v>1</v>
          </cell>
          <cell r="AB544">
            <v>0</v>
          </cell>
        </row>
        <row r="545">
          <cell r="H545">
            <v>75</v>
          </cell>
          <cell r="I545">
            <v>34.01</v>
          </cell>
          <cell r="P545">
            <v>0</v>
          </cell>
          <cell r="R545">
            <v>0</v>
          </cell>
          <cell r="X545">
            <v>75</v>
          </cell>
          <cell r="Y545">
            <v>2550.75</v>
          </cell>
          <cell r="Z545">
            <v>1</v>
          </cell>
          <cell r="AB545">
            <v>0</v>
          </cell>
        </row>
        <row r="546">
          <cell r="AB546">
            <v>0</v>
          </cell>
        </row>
        <row r="547">
          <cell r="H547">
            <v>2</v>
          </cell>
          <cell r="I547">
            <v>60.86</v>
          </cell>
          <cell r="P547">
            <v>0</v>
          </cell>
          <cell r="R547">
            <v>0</v>
          </cell>
          <cell r="X547">
            <v>2</v>
          </cell>
          <cell r="Y547">
            <v>121.72</v>
          </cell>
          <cell r="Z547">
            <v>1</v>
          </cell>
          <cell r="AB547">
            <v>0</v>
          </cell>
        </row>
        <row r="548">
          <cell r="AB548">
            <v>0</v>
          </cell>
        </row>
        <row r="549">
          <cell r="U549">
            <v>0</v>
          </cell>
          <cell r="W549">
            <v>0</v>
          </cell>
          <cell r="Y549">
            <v>13344.47</v>
          </cell>
          <cell r="Z549">
            <v>1</v>
          </cell>
          <cell r="AB549">
            <v>0</v>
          </cell>
        </row>
        <row r="550">
          <cell r="AB550">
            <v>0</v>
          </cell>
        </row>
        <row r="551">
          <cell r="H551">
            <v>4</v>
          </cell>
          <cell r="I551">
            <v>129.4</v>
          </cell>
          <cell r="P551">
            <v>0</v>
          </cell>
          <cell r="R551">
            <v>0</v>
          </cell>
          <cell r="X551">
            <v>4</v>
          </cell>
          <cell r="Y551">
            <v>517.6</v>
          </cell>
          <cell r="Z551">
            <v>1</v>
          </cell>
          <cell r="AB551">
            <v>0</v>
          </cell>
        </row>
        <row r="552">
          <cell r="H552">
            <v>1</v>
          </cell>
          <cell r="I552">
            <v>64.7</v>
          </cell>
          <cell r="P552">
            <v>0</v>
          </cell>
          <cell r="R552">
            <v>0</v>
          </cell>
          <cell r="X552">
            <v>1</v>
          </cell>
          <cell r="Y552">
            <v>64.7</v>
          </cell>
          <cell r="Z552">
            <v>1</v>
          </cell>
          <cell r="AB552">
            <v>0</v>
          </cell>
        </row>
        <row r="553">
          <cell r="H553">
            <v>6</v>
          </cell>
          <cell r="I553">
            <v>32.299999999999997</v>
          </cell>
          <cell r="P553">
            <v>0</v>
          </cell>
          <cell r="R553">
            <v>0</v>
          </cell>
          <cell r="X553">
            <v>6</v>
          </cell>
          <cell r="Y553">
            <v>193.8</v>
          </cell>
          <cell r="Z553">
            <v>1</v>
          </cell>
          <cell r="AB553">
            <v>0</v>
          </cell>
        </row>
        <row r="554">
          <cell r="H554">
            <v>6</v>
          </cell>
          <cell r="I554">
            <v>32.299999999999997</v>
          </cell>
          <cell r="P554">
            <v>0</v>
          </cell>
          <cell r="R554">
            <v>0</v>
          </cell>
          <cell r="X554">
            <v>6</v>
          </cell>
          <cell r="Y554">
            <v>193.8</v>
          </cell>
          <cell r="Z554">
            <v>1</v>
          </cell>
          <cell r="AB554">
            <v>0</v>
          </cell>
        </row>
        <row r="555">
          <cell r="H555">
            <v>6</v>
          </cell>
          <cell r="I555">
            <v>32.299999999999997</v>
          </cell>
          <cell r="P555">
            <v>0</v>
          </cell>
          <cell r="R555">
            <v>0</v>
          </cell>
          <cell r="X555">
            <v>6</v>
          </cell>
          <cell r="Y555">
            <v>193.8</v>
          </cell>
          <cell r="Z555">
            <v>1</v>
          </cell>
          <cell r="AB555">
            <v>0</v>
          </cell>
        </row>
        <row r="556">
          <cell r="H556">
            <v>2</v>
          </cell>
          <cell r="I556">
            <v>32.299999999999997</v>
          </cell>
          <cell r="P556">
            <v>0</v>
          </cell>
          <cell r="R556">
            <v>0</v>
          </cell>
          <cell r="X556">
            <v>2</v>
          </cell>
          <cell r="Y556">
            <v>64.599999999999994</v>
          </cell>
          <cell r="Z556">
            <v>1</v>
          </cell>
          <cell r="AB556">
            <v>0</v>
          </cell>
        </row>
        <row r="557">
          <cell r="H557">
            <v>1</v>
          </cell>
          <cell r="I557">
            <v>32.299999999999997</v>
          </cell>
          <cell r="P557">
            <v>0</v>
          </cell>
          <cell r="R557">
            <v>0</v>
          </cell>
          <cell r="X557">
            <v>1</v>
          </cell>
          <cell r="Y557">
            <v>32.299999999999997</v>
          </cell>
          <cell r="Z557">
            <v>1</v>
          </cell>
          <cell r="AB557">
            <v>0</v>
          </cell>
        </row>
        <row r="558">
          <cell r="AB558">
            <v>0</v>
          </cell>
        </row>
        <row r="559">
          <cell r="H559">
            <v>890</v>
          </cell>
          <cell r="I559">
            <v>4.6399999999999997</v>
          </cell>
          <cell r="P559">
            <v>0</v>
          </cell>
          <cell r="R559">
            <v>0</v>
          </cell>
          <cell r="X559">
            <v>890</v>
          </cell>
          <cell r="Y559">
            <v>4129.6000000000004</v>
          </cell>
          <cell r="Z559">
            <v>1</v>
          </cell>
          <cell r="AB559">
            <v>0</v>
          </cell>
        </row>
        <row r="560">
          <cell r="H560">
            <v>8</v>
          </cell>
          <cell r="I560">
            <v>5.98</v>
          </cell>
          <cell r="P560">
            <v>0</v>
          </cell>
          <cell r="R560">
            <v>0</v>
          </cell>
          <cell r="W560">
            <v>0</v>
          </cell>
          <cell r="X560">
            <v>8</v>
          </cell>
          <cell r="Y560">
            <v>47.84</v>
          </cell>
          <cell r="Z560">
            <v>1</v>
          </cell>
          <cell r="AB560">
            <v>0</v>
          </cell>
        </row>
        <row r="561">
          <cell r="AB561">
            <v>0</v>
          </cell>
        </row>
        <row r="562">
          <cell r="H562">
            <v>41</v>
          </cell>
          <cell r="I562">
            <v>5.8</v>
          </cell>
          <cell r="P562">
            <v>0</v>
          </cell>
          <cell r="R562">
            <v>0</v>
          </cell>
          <cell r="X562">
            <v>41</v>
          </cell>
          <cell r="Y562">
            <v>237.8</v>
          </cell>
          <cell r="Z562">
            <v>1</v>
          </cell>
          <cell r="AB562">
            <v>0</v>
          </cell>
        </row>
        <row r="563">
          <cell r="H563">
            <v>48</v>
          </cell>
          <cell r="I563">
            <v>5.8</v>
          </cell>
          <cell r="P563">
            <v>0</v>
          </cell>
          <cell r="R563">
            <v>0</v>
          </cell>
          <cell r="X563">
            <v>48</v>
          </cell>
          <cell r="Y563">
            <v>278.39999999999998</v>
          </cell>
          <cell r="Z563">
            <v>1</v>
          </cell>
          <cell r="AB563">
            <v>0</v>
          </cell>
        </row>
        <row r="564">
          <cell r="H564">
            <v>35</v>
          </cell>
          <cell r="I564">
            <v>5.8</v>
          </cell>
          <cell r="P564">
            <v>0</v>
          </cell>
          <cell r="R564">
            <v>0</v>
          </cell>
          <cell r="X564">
            <v>35</v>
          </cell>
          <cell r="Y564">
            <v>203</v>
          </cell>
          <cell r="Z564">
            <v>1</v>
          </cell>
          <cell r="AB564">
            <v>0</v>
          </cell>
        </row>
        <row r="565">
          <cell r="H565">
            <v>15</v>
          </cell>
          <cell r="I565">
            <v>5.8</v>
          </cell>
          <cell r="P565">
            <v>0</v>
          </cell>
          <cell r="R565">
            <v>0</v>
          </cell>
          <cell r="X565">
            <v>15</v>
          </cell>
          <cell r="Y565">
            <v>87</v>
          </cell>
          <cell r="Z565">
            <v>1</v>
          </cell>
          <cell r="AB565">
            <v>0</v>
          </cell>
        </row>
        <row r="566">
          <cell r="AB566">
            <v>0</v>
          </cell>
        </row>
        <row r="567">
          <cell r="H567">
            <v>41</v>
          </cell>
          <cell r="I567">
            <v>10.4</v>
          </cell>
          <cell r="P567">
            <v>0</v>
          </cell>
          <cell r="R567">
            <v>0</v>
          </cell>
          <cell r="X567">
            <v>41</v>
          </cell>
          <cell r="Y567">
            <v>426.4</v>
          </cell>
          <cell r="Z567">
            <v>1</v>
          </cell>
          <cell r="AB567">
            <v>0</v>
          </cell>
        </row>
        <row r="568">
          <cell r="H568">
            <v>2</v>
          </cell>
          <cell r="I568">
            <v>5.0999999999999996</v>
          </cell>
          <cell r="P568">
            <v>0</v>
          </cell>
          <cell r="R568">
            <v>0</v>
          </cell>
          <cell r="X568">
            <v>2</v>
          </cell>
          <cell r="Y568">
            <v>10.199999999999999</v>
          </cell>
          <cell r="Z568">
            <v>1</v>
          </cell>
          <cell r="AB568">
            <v>0</v>
          </cell>
        </row>
        <row r="569">
          <cell r="AB569">
            <v>0</v>
          </cell>
        </row>
        <row r="570">
          <cell r="H570">
            <v>2</v>
          </cell>
          <cell r="I570">
            <v>12.62</v>
          </cell>
          <cell r="P570">
            <v>0</v>
          </cell>
          <cell r="R570">
            <v>0</v>
          </cell>
          <cell r="X570">
            <v>2</v>
          </cell>
          <cell r="Y570">
            <v>25.24</v>
          </cell>
          <cell r="Z570">
            <v>1</v>
          </cell>
          <cell r="AB570">
            <v>0</v>
          </cell>
        </row>
        <row r="571">
          <cell r="H571">
            <v>1</v>
          </cell>
          <cell r="I571">
            <v>154.26</v>
          </cell>
          <cell r="P571">
            <v>0</v>
          </cell>
          <cell r="R571">
            <v>0</v>
          </cell>
          <cell r="X571">
            <v>1</v>
          </cell>
          <cell r="Y571">
            <v>154.26</v>
          </cell>
          <cell r="Z571">
            <v>1</v>
          </cell>
          <cell r="AB571">
            <v>0</v>
          </cell>
        </row>
        <row r="572">
          <cell r="H572">
            <v>1</v>
          </cell>
          <cell r="I572">
            <v>265.58</v>
          </cell>
          <cell r="P572">
            <v>0</v>
          </cell>
          <cell r="R572">
            <v>0</v>
          </cell>
          <cell r="X572">
            <v>1</v>
          </cell>
          <cell r="Y572">
            <v>265.58</v>
          </cell>
          <cell r="Z572">
            <v>1</v>
          </cell>
          <cell r="AB572">
            <v>0</v>
          </cell>
        </row>
        <row r="573">
          <cell r="H573">
            <v>2</v>
          </cell>
          <cell r="I573">
            <v>358.95</v>
          </cell>
          <cell r="P573">
            <v>0</v>
          </cell>
          <cell r="R573">
            <v>0</v>
          </cell>
          <cell r="X573">
            <v>2</v>
          </cell>
          <cell r="Y573">
            <v>717.9</v>
          </cell>
          <cell r="Z573">
            <v>1</v>
          </cell>
          <cell r="AB573">
            <v>0</v>
          </cell>
        </row>
        <row r="574">
          <cell r="H574">
            <v>1</v>
          </cell>
          <cell r="I574">
            <v>0.6</v>
          </cell>
          <cell r="P574">
            <v>0</v>
          </cell>
          <cell r="R574">
            <v>0</v>
          </cell>
          <cell r="X574">
            <v>1</v>
          </cell>
          <cell r="Y574">
            <v>0.6</v>
          </cell>
          <cell r="Z574">
            <v>1</v>
          </cell>
          <cell r="AB574">
            <v>0</v>
          </cell>
        </row>
        <row r="575">
          <cell r="H575">
            <v>13</v>
          </cell>
          <cell r="I575">
            <v>9.1</v>
          </cell>
          <cell r="P575">
            <v>0</v>
          </cell>
          <cell r="R575">
            <v>0</v>
          </cell>
          <cell r="X575">
            <v>13</v>
          </cell>
          <cell r="Y575">
            <v>118.3</v>
          </cell>
          <cell r="Z575">
            <v>1</v>
          </cell>
          <cell r="AB575">
            <v>0</v>
          </cell>
        </row>
        <row r="576">
          <cell r="H576">
            <v>1</v>
          </cell>
          <cell r="I576">
            <v>9.1</v>
          </cell>
          <cell r="P576">
            <v>0</v>
          </cell>
          <cell r="R576">
            <v>0</v>
          </cell>
          <cell r="X576">
            <v>1</v>
          </cell>
          <cell r="Y576">
            <v>9.1</v>
          </cell>
          <cell r="Z576">
            <v>1</v>
          </cell>
          <cell r="AB576">
            <v>0</v>
          </cell>
        </row>
        <row r="577">
          <cell r="H577">
            <v>1</v>
          </cell>
          <cell r="I577">
            <v>4.5</v>
          </cell>
          <cell r="P577">
            <v>0</v>
          </cell>
          <cell r="R577">
            <v>0</v>
          </cell>
          <cell r="X577">
            <v>1</v>
          </cell>
          <cell r="Y577">
            <v>4.5</v>
          </cell>
          <cell r="Z577">
            <v>1</v>
          </cell>
          <cell r="AB577">
            <v>0</v>
          </cell>
        </row>
        <row r="578">
          <cell r="H578">
            <v>14</v>
          </cell>
          <cell r="I578">
            <v>4.84</v>
          </cell>
          <cell r="P578">
            <v>0</v>
          </cell>
          <cell r="R578">
            <v>0</v>
          </cell>
          <cell r="X578">
            <v>14</v>
          </cell>
          <cell r="Y578">
            <v>67.760000000000005</v>
          </cell>
          <cell r="Z578">
            <v>1</v>
          </cell>
          <cell r="AB578">
            <v>0</v>
          </cell>
        </row>
        <row r="579">
          <cell r="AB579">
            <v>0</v>
          </cell>
        </row>
        <row r="580">
          <cell r="AB580">
            <v>0</v>
          </cell>
        </row>
        <row r="581">
          <cell r="H581">
            <v>1</v>
          </cell>
          <cell r="I581">
            <v>27.3</v>
          </cell>
          <cell r="P581">
            <v>0</v>
          </cell>
          <cell r="R581">
            <v>0</v>
          </cell>
          <cell r="X581">
            <v>1</v>
          </cell>
          <cell r="Y581">
            <v>27.3</v>
          </cell>
          <cell r="Z581">
            <v>1</v>
          </cell>
          <cell r="AB581">
            <v>0</v>
          </cell>
        </row>
        <row r="582">
          <cell r="H582">
            <v>70</v>
          </cell>
          <cell r="I582">
            <v>6.2</v>
          </cell>
          <cell r="P582">
            <v>0</v>
          </cell>
          <cell r="R582">
            <v>0</v>
          </cell>
          <cell r="X582">
            <v>70</v>
          </cell>
          <cell r="Y582">
            <v>434</v>
          </cell>
          <cell r="Z582">
            <v>1</v>
          </cell>
          <cell r="AB582">
            <v>0</v>
          </cell>
        </row>
        <row r="583">
          <cell r="AB583">
            <v>0</v>
          </cell>
        </row>
        <row r="584">
          <cell r="H584">
            <v>10</v>
          </cell>
          <cell r="I584">
            <v>6.2</v>
          </cell>
          <cell r="P584">
            <v>0</v>
          </cell>
          <cell r="R584">
            <v>0</v>
          </cell>
          <cell r="X584">
            <v>10</v>
          </cell>
          <cell r="Y584">
            <v>62</v>
          </cell>
          <cell r="Z584">
            <v>1</v>
          </cell>
          <cell r="AB584">
            <v>0</v>
          </cell>
        </row>
        <row r="585">
          <cell r="AB585">
            <v>0</v>
          </cell>
        </row>
        <row r="586">
          <cell r="H586">
            <v>45</v>
          </cell>
          <cell r="I586">
            <v>6.2</v>
          </cell>
          <cell r="P586">
            <v>0</v>
          </cell>
          <cell r="R586">
            <v>0</v>
          </cell>
          <cell r="X586">
            <v>45</v>
          </cell>
          <cell r="Y586">
            <v>279</v>
          </cell>
          <cell r="Z586">
            <v>1</v>
          </cell>
          <cell r="AB586">
            <v>0</v>
          </cell>
        </row>
        <row r="587">
          <cell r="AB587">
            <v>0</v>
          </cell>
        </row>
        <row r="588">
          <cell r="H588">
            <v>10</v>
          </cell>
          <cell r="I588">
            <v>33.619999999999997</v>
          </cell>
          <cell r="P588">
            <v>0</v>
          </cell>
          <cell r="R588">
            <v>0</v>
          </cell>
          <cell r="X588">
            <v>10</v>
          </cell>
          <cell r="Y588">
            <v>336.2</v>
          </cell>
          <cell r="Z588">
            <v>1</v>
          </cell>
          <cell r="AB588">
            <v>0</v>
          </cell>
        </row>
        <row r="589">
          <cell r="AB589">
            <v>0</v>
          </cell>
        </row>
        <row r="590">
          <cell r="H590">
            <v>75</v>
          </cell>
          <cell r="I590">
            <v>2.27</v>
          </cell>
          <cell r="P590">
            <v>0</v>
          </cell>
          <cell r="R590">
            <v>0</v>
          </cell>
          <cell r="X590">
            <v>75</v>
          </cell>
          <cell r="Y590">
            <v>170.25</v>
          </cell>
          <cell r="Z590">
            <v>1</v>
          </cell>
          <cell r="AB590">
            <v>0</v>
          </cell>
        </row>
        <row r="591">
          <cell r="H591">
            <v>75</v>
          </cell>
          <cell r="I591">
            <v>0.5</v>
          </cell>
          <cell r="P591">
            <v>0</v>
          </cell>
          <cell r="R591">
            <v>0</v>
          </cell>
          <cell r="X591">
            <v>75</v>
          </cell>
          <cell r="Y591">
            <v>37.5</v>
          </cell>
          <cell r="Z591">
            <v>1</v>
          </cell>
          <cell r="AB591">
            <v>0</v>
          </cell>
        </row>
        <row r="592">
          <cell r="H592">
            <v>75</v>
          </cell>
          <cell r="I592">
            <v>0.15</v>
          </cell>
          <cell r="P592">
            <v>0</v>
          </cell>
          <cell r="R592">
            <v>0</v>
          </cell>
          <cell r="X592">
            <v>75</v>
          </cell>
          <cell r="Y592">
            <v>11.25</v>
          </cell>
          <cell r="Z592">
            <v>1</v>
          </cell>
          <cell r="AB592">
            <v>0</v>
          </cell>
        </row>
        <row r="593">
          <cell r="H593">
            <v>75</v>
          </cell>
          <cell r="I593">
            <v>0.31</v>
          </cell>
          <cell r="P593">
            <v>0</v>
          </cell>
          <cell r="R593">
            <v>0</v>
          </cell>
          <cell r="X593">
            <v>75</v>
          </cell>
          <cell r="Y593">
            <v>23.25</v>
          </cell>
          <cell r="Z593">
            <v>1</v>
          </cell>
          <cell r="AB593">
            <v>0</v>
          </cell>
        </row>
        <row r="594">
          <cell r="H594">
            <v>75</v>
          </cell>
          <cell r="I594">
            <v>0.06</v>
          </cell>
          <cell r="P594">
            <v>0</v>
          </cell>
          <cell r="R594">
            <v>0</v>
          </cell>
          <cell r="X594">
            <v>75</v>
          </cell>
          <cell r="Y594">
            <v>4.5</v>
          </cell>
          <cell r="Z594">
            <v>1</v>
          </cell>
          <cell r="AB594">
            <v>0</v>
          </cell>
        </row>
        <row r="595">
          <cell r="H595">
            <v>100</v>
          </cell>
          <cell r="I595">
            <v>0.18</v>
          </cell>
          <cell r="P595">
            <v>0</v>
          </cell>
          <cell r="R595">
            <v>0</v>
          </cell>
          <cell r="X595">
            <v>100</v>
          </cell>
          <cell r="Y595">
            <v>18</v>
          </cell>
          <cell r="Z595">
            <v>1</v>
          </cell>
          <cell r="AB595">
            <v>0</v>
          </cell>
        </row>
        <row r="596">
          <cell r="AB596">
            <v>0</v>
          </cell>
        </row>
        <row r="597">
          <cell r="H597">
            <v>12</v>
          </cell>
          <cell r="I597">
            <v>100.07</v>
          </cell>
          <cell r="P597">
            <v>0</v>
          </cell>
          <cell r="R597">
            <v>0</v>
          </cell>
          <cell r="X597">
            <v>12</v>
          </cell>
          <cell r="Y597">
            <v>1200.8399999999999</v>
          </cell>
          <cell r="Z597">
            <v>1</v>
          </cell>
          <cell r="AB597">
            <v>0</v>
          </cell>
        </row>
        <row r="598">
          <cell r="H598">
            <v>6</v>
          </cell>
          <cell r="I598">
            <v>46.66</v>
          </cell>
          <cell r="P598">
            <v>0</v>
          </cell>
          <cell r="R598">
            <v>0</v>
          </cell>
          <cell r="X598">
            <v>6</v>
          </cell>
          <cell r="Y598">
            <v>279.95999999999998</v>
          </cell>
          <cell r="Z598">
            <v>1</v>
          </cell>
          <cell r="AB598">
            <v>0</v>
          </cell>
        </row>
        <row r="599">
          <cell r="H599">
            <v>1</v>
          </cell>
          <cell r="I599">
            <v>58.78</v>
          </cell>
          <cell r="P599">
            <v>0</v>
          </cell>
          <cell r="R599">
            <v>0</v>
          </cell>
          <cell r="X599">
            <v>1</v>
          </cell>
          <cell r="Y599">
            <v>58.78</v>
          </cell>
          <cell r="Z599">
            <v>1</v>
          </cell>
          <cell r="AB599">
            <v>0</v>
          </cell>
        </row>
        <row r="600">
          <cell r="H600">
            <v>2</v>
          </cell>
          <cell r="I600">
            <v>58.78</v>
          </cell>
          <cell r="P600">
            <v>0</v>
          </cell>
          <cell r="R600">
            <v>0</v>
          </cell>
          <cell r="X600">
            <v>2</v>
          </cell>
          <cell r="Y600">
            <v>117.56</v>
          </cell>
          <cell r="Z600">
            <v>1</v>
          </cell>
          <cell r="AB600">
            <v>0</v>
          </cell>
        </row>
        <row r="601">
          <cell r="H601">
            <v>15</v>
          </cell>
          <cell r="I601">
            <v>11.28</v>
          </cell>
          <cell r="P601">
            <v>0</v>
          </cell>
          <cell r="R601">
            <v>0</v>
          </cell>
          <cell r="X601">
            <v>15</v>
          </cell>
          <cell r="Y601">
            <v>169.2</v>
          </cell>
          <cell r="Z601">
            <v>1</v>
          </cell>
          <cell r="AB601">
            <v>0</v>
          </cell>
        </row>
        <row r="602">
          <cell r="H602">
            <v>4</v>
          </cell>
          <cell r="I602">
            <v>1.9</v>
          </cell>
          <cell r="P602">
            <v>0</v>
          </cell>
          <cell r="R602">
            <v>0</v>
          </cell>
          <cell r="X602">
            <v>4</v>
          </cell>
          <cell r="Y602">
            <v>7.6</v>
          </cell>
          <cell r="Z602">
            <v>1</v>
          </cell>
          <cell r="AB602">
            <v>0</v>
          </cell>
        </row>
        <row r="603">
          <cell r="H603">
            <v>40</v>
          </cell>
          <cell r="I603">
            <v>1.9</v>
          </cell>
          <cell r="P603">
            <v>0</v>
          </cell>
          <cell r="R603">
            <v>0</v>
          </cell>
          <cell r="X603">
            <v>40</v>
          </cell>
          <cell r="Y603">
            <v>76</v>
          </cell>
          <cell r="Z603">
            <v>1</v>
          </cell>
          <cell r="AB603">
            <v>0</v>
          </cell>
        </row>
        <row r="604">
          <cell r="H604">
            <v>20</v>
          </cell>
          <cell r="I604">
            <v>21.66</v>
          </cell>
          <cell r="P604">
            <v>0</v>
          </cell>
          <cell r="R604">
            <v>0</v>
          </cell>
          <cell r="X604">
            <v>20</v>
          </cell>
          <cell r="Y604">
            <v>433.2</v>
          </cell>
          <cell r="Z604">
            <v>1</v>
          </cell>
          <cell r="AB604">
            <v>0</v>
          </cell>
        </row>
        <row r="605">
          <cell r="H605">
            <v>25</v>
          </cell>
          <cell r="I605">
            <v>0.3</v>
          </cell>
          <cell r="P605">
            <v>0</v>
          </cell>
          <cell r="R605">
            <v>0</v>
          </cell>
          <cell r="X605">
            <v>25</v>
          </cell>
          <cell r="Y605">
            <v>7.5</v>
          </cell>
          <cell r="Z605">
            <v>1</v>
          </cell>
          <cell r="AB605">
            <v>0</v>
          </cell>
        </row>
        <row r="606">
          <cell r="H606">
            <v>160</v>
          </cell>
          <cell r="I606">
            <v>0.3</v>
          </cell>
          <cell r="P606">
            <v>0</v>
          </cell>
          <cell r="R606">
            <v>0</v>
          </cell>
          <cell r="X606">
            <v>160</v>
          </cell>
          <cell r="Y606">
            <v>48</v>
          </cell>
          <cell r="Z606">
            <v>1</v>
          </cell>
          <cell r="AB606">
            <v>0</v>
          </cell>
        </row>
        <row r="607">
          <cell r="H607">
            <v>3</v>
          </cell>
          <cell r="I607">
            <v>1.6</v>
          </cell>
          <cell r="P607">
            <v>0</v>
          </cell>
          <cell r="R607">
            <v>0</v>
          </cell>
          <cell r="X607">
            <v>3</v>
          </cell>
          <cell r="Y607">
            <v>4.8</v>
          </cell>
          <cell r="Z607">
            <v>1</v>
          </cell>
          <cell r="AB607">
            <v>0</v>
          </cell>
        </row>
        <row r="608">
          <cell r="H608">
            <v>25</v>
          </cell>
          <cell r="I608">
            <v>0.6</v>
          </cell>
          <cell r="P608">
            <v>0</v>
          </cell>
          <cell r="R608">
            <v>0</v>
          </cell>
          <cell r="X608">
            <v>25</v>
          </cell>
          <cell r="Y608">
            <v>15</v>
          </cell>
          <cell r="Z608">
            <v>1</v>
          </cell>
          <cell r="AB608">
            <v>0</v>
          </cell>
        </row>
        <row r="609">
          <cell r="H609">
            <v>3</v>
          </cell>
          <cell r="I609">
            <v>16.100000000000001</v>
          </cell>
          <cell r="P609">
            <v>0</v>
          </cell>
          <cell r="R609">
            <v>0</v>
          </cell>
          <cell r="X609">
            <v>3</v>
          </cell>
          <cell r="Y609">
            <v>48.3</v>
          </cell>
          <cell r="Z609">
            <v>1</v>
          </cell>
          <cell r="AB609">
            <v>0</v>
          </cell>
        </row>
        <row r="610">
          <cell r="H610">
            <v>300</v>
          </cell>
          <cell r="I610">
            <v>0.05</v>
          </cell>
          <cell r="P610">
            <v>0</v>
          </cell>
          <cell r="R610">
            <v>0</v>
          </cell>
          <cell r="X610">
            <v>300</v>
          </cell>
          <cell r="Y610">
            <v>15</v>
          </cell>
          <cell r="Z610">
            <v>1</v>
          </cell>
          <cell r="AB610">
            <v>0</v>
          </cell>
        </row>
        <row r="611">
          <cell r="H611">
            <v>15</v>
          </cell>
          <cell r="I611">
            <v>0.5</v>
          </cell>
          <cell r="P611">
            <v>0</v>
          </cell>
          <cell r="R611">
            <v>0</v>
          </cell>
          <cell r="X611">
            <v>15</v>
          </cell>
          <cell r="Y611">
            <v>7.5</v>
          </cell>
          <cell r="Z611">
            <v>1</v>
          </cell>
          <cell r="AB611">
            <v>0</v>
          </cell>
        </row>
        <row r="612">
          <cell r="AB612">
            <v>0</v>
          </cell>
        </row>
        <row r="613">
          <cell r="H613">
            <v>10</v>
          </cell>
          <cell r="I613">
            <v>9.6999999999999993</v>
          </cell>
          <cell r="P613">
            <v>0</v>
          </cell>
          <cell r="R613">
            <v>0</v>
          </cell>
          <cell r="X613">
            <v>10</v>
          </cell>
          <cell r="Y613">
            <v>97</v>
          </cell>
          <cell r="Z613">
            <v>1</v>
          </cell>
          <cell r="AB613">
            <v>0</v>
          </cell>
        </row>
        <row r="614">
          <cell r="H614">
            <v>10</v>
          </cell>
          <cell r="I614">
            <v>9.6999999999999993</v>
          </cell>
          <cell r="P614">
            <v>0</v>
          </cell>
          <cell r="R614">
            <v>0</v>
          </cell>
          <cell r="X614">
            <v>10</v>
          </cell>
          <cell r="Y614">
            <v>97</v>
          </cell>
          <cell r="Z614">
            <v>1</v>
          </cell>
          <cell r="AB614">
            <v>0</v>
          </cell>
        </row>
        <row r="615">
          <cell r="H615">
            <v>20</v>
          </cell>
          <cell r="I615">
            <v>9.6999999999999993</v>
          </cell>
          <cell r="P615">
            <v>0</v>
          </cell>
          <cell r="R615">
            <v>0</v>
          </cell>
          <cell r="X615">
            <v>20</v>
          </cell>
          <cell r="Y615">
            <v>194</v>
          </cell>
          <cell r="Z615">
            <v>1</v>
          </cell>
          <cell r="AB615">
            <v>0</v>
          </cell>
        </row>
        <row r="616">
          <cell r="H616">
            <v>2</v>
          </cell>
          <cell r="I616">
            <v>9.6999999999999993</v>
          </cell>
          <cell r="P616">
            <v>0</v>
          </cell>
          <cell r="R616">
            <v>0</v>
          </cell>
          <cell r="X616">
            <v>2</v>
          </cell>
          <cell r="Y616">
            <v>19.399999999999999</v>
          </cell>
          <cell r="Z616">
            <v>1</v>
          </cell>
          <cell r="AB616">
            <v>0</v>
          </cell>
        </row>
        <row r="617">
          <cell r="H617">
            <v>40</v>
          </cell>
          <cell r="I617">
            <v>9.6999999999999993</v>
          </cell>
          <cell r="P617">
            <v>0</v>
          </cell>
          <cell r="R617">
            <v>0</v>
          </cell>
          <cell r="X617">
            <v>40</v>
          </cell>
          <cell r="Y617">
            <v>388</v>
          </cell>
          <cell r="Z617">
            <v>1</v>
          </cell>
          <cell r="AB617">
            <v>0</v>
          </cell>
        </row>
        <row r="618">
          <cell r="H618">
            <v>4</v>
          </cell>
          <cell r="I618">
            <v>9.6999999999999993</v>
          </cell>
          <cell r="P618">
            <v>0</v>
          </cell>
          <cell r="R618">
            <v>0</v>
          </cell>
          <cell r="X618">
            <v>4</v>
          </cell>
          <cell r="Y618">
            <v>38.799999999999997</v>
          </cell>
          <cell r="Z618">
            <v>1</v>
          </cell>
          <cell r="AB618">
            <v>0</v>
          </cell>
        </row>
        <row r="619">
          <cell r="H619">
            <v>7</v>
          </cell>
          <cell r="I619">
            <v>6.4</v>
          </cell>
          <cell r="P619">
            <v>0</v>
          </cell>
          <cell r="R619">
            <v>0</v>
          </cell>
          <cell r="X619">
            <v>7</v>
          </cell>
          <cell r="Y619">
            <v>44.8</v>
          </cell>
          <cell r="Z619">
            <v>1</v>
          </cell>
          <cell r="AB619">
            <v>0</v>
          </cell>
        </row>
        <row r="620">
          <cell r="AB620">
            <v>0</v>
          </cell>
        </row>
        <row r="621">
          <cell r="AB621">
            <v>0</v>
          </cell>
        </row>
        <row r="622">
          <cell r="H622">
            <v>41</v>
          </cell>
          <cell r="I622">
            <v>12.9</v>
          </cell>
          <cell r="P622">
            <v>0</v>
          </cell>
          <cell r="R622">
            <v>0</v>
          </cell>
          <cell r="X622">
            <v>41</v>
          </cell>
          <cell r="Y622">
            <v>528.9</v>
          </cell>
          <cell r="Z622">
            <v>1</v>
          </cell>
          <cell r="AB622">
            <v>0</v>
          </cell>
        </row>
        <row r="623">
          <cell r="AB623">
            <v>0</v>
          </cell>
        </row>
        <row r="624">
          <cell r="U624">
            <v>0</v>
          </cell>
          <cell r="W624">
            <v>0</v>
          </cell>
          <cell r="Y624">
            <v>5170.8499999999995</v>
          </cell>
          <cell r="Z624">
            <v>1</v>
          </cell>
          <cell r="AB624">
            <v>0</v>
          </cell>
        </row>
        <row r="625">
          <cell r="U625">
            <v>0</v>
          </cell>
          <cell r="W625">
            <v>0</v>
          </cell>
          <cell r="Y625">
            <v>135.09</v>
          </cell>
          <cell r="Z625">
            <v>1</v>
          </cell>
          <cell r="AB625">
            <v>0</v>
          </cell>
        </row>
        <row r="626">
          <cell r="AB626">
            <v>0</v>
          </cell>
        </row>
        <row r="627">
          <cell r="H627">
            <v>1</v>
          </cell>
          <cell r="I627">
            <v>45.03</v>
          </cell>
          <cell r="P627">
            <v>0</v>
          </cell>
          <cell r="R627">
            <v>0</v>
          </cell>
          <cell r="X627">
            <v>1</v>
          </cell>
          <cell r="Y627">
            <v>45.03</v>
          </cell>
          <cell r="Z627">
            <v>1</v>
          </cell>
          <cell r="AB627">
            <v>0</v>
          </cell>
        </row>
        <row r="628">
          <cell r="H628">
            <v>1</v>
          </cell>
          <cell r="I628">
            <v>45.03</v>
          </cell>
          <cell r="P628">
            <v>0</v>
          </cell>
          <cell r="R628">
            <v>0</v>
          </cell>
          <cell r="X628">
            <v>1</v>
          </cell>
          <cell r="Y628">
            <v>45.03</v>
          </cell>
          <cell r="Z628">
            <v>1</v>
          </cell>
          <cell r="AB628">
            <v>0</v>
          </cell>
        </row>
        <row r="629">
          <cell r="H629">
            <v>1</v>
          </cell>
          <cell r="I629">
            <v>45.03</v>
          </cell>
          <cell r="P629">
            <v>0</v>
          </cell>
          <cell r="R629">
            <v>0</v>
          </cell>
          <cell r="X629">
            <v>1</v>
          </cell>
          <cell r="Y629">
            <v>45.03</v>
          </cell>
          <cell r="Z629">
            <v>1</v>
          </cell>
          <cell r="AB629">
            <v>0</v>
          </cell>
        </row>
        <row r="630">
          <cell r="AB630">
            <v>0</v>
          </cell>
        </row>
        <row r="631">
          <cell r="U631">
            <v>0</v>
          </cell>
          <cell r="W631">
            <v>0</v>
          </cell>
          <cell r="Y631">
            <v>2904.82</v>
          </cell>
          <cell r="Z631">
            <v>1</v>
          </cell>
          <cell r="AB631">
            <v>0</v>
          </cell>
        </row>
        <row r="632">
          <cell r="AB632">
            <v>0</v>
          </cell>
        </row>
        <row r="633">
          <cell r="H633">
            <v>8</v>
          </cell>
          <cell r="I633">
            <v>4.8</v>
          </cell>
          <cell r="P633">
            <v>0</v>
          </cell>
          <cell r="R633">
            <v>1</v>
          </cell>
          <cell r="X633">
            <v>8</v>
          </cell>
          <cell r="Y633">
            <v>38.4</v>
          </cell>
          <cell r="Z633">
            <v>1</v>
          </cell>
          <cell r="AB633">
            <v>0</v>
          </cell>
        </row>
        <row r="634">
          <cell r="H634">
            <v>16</v>
          </cell>
          <cell r="I634">
            <v>4.8</v>
          </cell>
          <cell r="P634">
            <v>0</v>
          </cell>
          <cell r="R634">
            <v>1</v>
          </cell>
          <cell r="X634">
            <v>16</v>
          </cell>
          <cell r="Y634">
            <v>76.8</v>
          </cell>
          <cell r="Z634">
            <v>1</v>
          </cell>
          <cell r="AB634">
            <v>0</v>
          </cell>
        </row>
        <row r="635">
          <cell r="H635">
            <v>1</v>
          </cell>
          <cell r="I635">
            <v>32.299999999999997</v>
          </cell>
          <cell r="P635">
            <v>0</v>
          </cell>
          <cell r="R635">
            <v>1</v>
          </cell>
          <cell r="X635">
            <v>1</v>
          </cell>
          <cell r="Y635">
            <v>32.299999999999997</v>
          </cell>
          <cell r="Z635">
            <v>1</v>
          </cell>
          <cell r="AB635">
            <v>0</v>
          </cell>
        </row>
        <row r="636">
          <cell r="H636">
            <v>2</v>
          </cell>
          <cell r="I636">
            <v>6.22</v>
          </cell>
          <cell r="P636">
            <v>0</v>
          </cell>
          <cell r="R636">
            <v>1</v>
          </cell>
          <cell r="X636">
            <v>2</v>
          </cell>
          <cell r="Y636">
            <v>12.44</v>
          </cell>
          <cell r="Z636">
            <v>1</v>
          </cell>
          <cell r="AB636">
            <v>0</v>
          </cell>
        </row>
        <row r="637">
          <cell r="H637">
            <v>2</v>
          </cell>
          <cell r="I637">
            <v>19.149999999999999</v>
          </cell>
          <cell r="P637">
            <v>0</v>
          </cell>
          <cell r="R637">
            <v>1</v>
          </cell>
          <cell r="X637">
            <v>2</v>
          </cell>
          <cell r="Y637">
            <v>38.299999999999997</v>
          </cell>
          <cell r="Z637">
            <v>1</v>
          </cell>
          <cell r="AB637">
            <v>0</v>
          </cell>
        </row>
        <row r="638">
          <cell r="H638">
            <v>1</v>
          </cell>
          <cell r="I638">
            <v>26.56</v>
          </cell>
          <cell r="P638">
            <v>0</v>
          </cell>
          <cell r="R638">
            <v>1</v>
          </cell>
          <cell r="X638">
            <v>1</v>
          </cell>
          <cell r="Y638">
            <v>26.56</v>
          </cell>
          <cell r="Z638">
            <v>1</v>
          </cell>
          <cell r="AB638">
            <v>0</v>
          </cell>
        </row>
        <row r="639">
          <cell r="AB639">
            <v>0</v>
          </cell>
        </row>
        <row r="640">
          <cell r="H640">
            <v>1</v>
          </cell>
          <cell r="I640">
            <v>2550.4699999999998</v>
          </cell>
          <cell r="P640">
            <v>0</v>
          </cell>
          <cell r="R640">
            <v>1</v>
          </cell>
          <cell r="X640">
            <v>1</v>
          </cell>
          <cell r="Y640">
            <v>2550.4699999999998</v>
          </cell>
          <cell r="Z640">
            <v>1</v>
          </cell>
          <cell r="AB640">
            <v>0</v>
          </cell>
        </row>
        <row r="641">
          <cell r="AB641">
            <v>0</v>
          </cell>
        </row>
        <row r="642">
          <cell r="H642">
            <v>3</v>
          </cell>
          <cell r="I642">
            <v>16.100000000000001</v>
          </cell>
          <cell r="P642">
            <v>0</v>
          </cell>
          <cell r="R642">
            <v>1</v>
          </cell>
          <cell r="X642">
            <v>3</v>
          </cell>
          <cell r="Y642">
            <v>48.3</v>
          </cell>
          <cell r="Z642">
            <v>1</v>
          </cell>
          <cell r="AB642">
            <v>0</v>
          </cell>
        </row>
        <row r="643">
          <cell r="H643">
            <v>3</v>
          </cell>
          <cell r="I643">
            <v>16.100000000000001</v>
          </cell>
          <cell r="P643">
            <v>0</v>
          </cell>
          <cell r="R643">
            <v>1</v>
          </cell>
          <cell r="X643">
            <v>3</v>
          </cell>
          <cell r="Y643">
            <v>48.3</v>
          </cell>
          <cell r="Z643">
            <v>1</v>
          </cell>
          <cell r="AB643">
            <v>0</v>
          </cell>
        </row>
        <row r="644">
          <cell r="H644">
            <v>2</v>
          </cell>
          <cell r="I644">
            <v>16.100000000000001</v>
          </cell>
          <cell r="P644">
            <v>0</v>
          </cell>
          <cell r="R644">
            <v>1</v>
          </cell>
          <cell r="X644">
            <v>2</v>
          </cell>
          <cell r="Y644">
            <v>32.200000000000003</v>
          </cell>
          <cell r="Z644">
            <v>1</v>
          </cell>
          <cell r="AB644">
            <v>0</v>
          </cell>
        </row>
        <row r="645">
          <cell r="H645">
            <v>3</v>
          </cell>
          <cell r="I645">
            <v>0.25</v>
          </cell>
          <cell r="P645">
            <v>0</v>
          </cell>
          <cell r="R645">
            <v>1</v>
          </cell>
          <cell r="X645">
            <v>3</v>
          </cell>
          <cell r="Y645">
            <v>0.75</v>
          </cell>
          <cell r="Z645">
            <v>1</v>
          </cell>
          <cell r="AB645">
            <v>0</v>
          </cell>
        </row>
        <row r="646">
          <cell r="AB646">
            <v>0</v>
          </cell>
        </row>
        <row r="647">
          <cell r="U647">
            <v>0</v>
          </cell>
          <cell r="W647">
            <v>0</v>
          </cell>
          <cell r="Y647">
            <v>1523.6999999999996</v>
          </cell>
          <cell r="Z647">
            <v>1</v>
          </cell>
          <cell r="AB647">
            <v>0</v>
          </cell>
        </row>
        <row r="648">
          <cell r="AB648">
            <v>0</v>
          </cell>
        </row>
        <row r="649">
          <cell r="AB649">
            <v>0</v>
          </cell>
        </row>
        <row r="650">
          <cell r="H650">
            <v>18</v>
          </cell>
          <cell r="I650">
            <v>28.67</v>
          </cell>
          <cell r="P650">
            <v>0</v>
          </cell>
          <cell r="R650">
            <v>1</v>
          </cell>
          <cell r="X650">
            <v>18</v>
          </cell>
          <cell r="Y650">
            <v>516.05999999999995</v>
          </cell>
          <cell r="Z650">
            <v>1</v>
          </cell>
          <cell r="AB650">
            <v>0</v>
          </cell>
        </row>
        <row r="651">
          <cell r="H651">
            <v>18</v>
          </cell>
          <cell r="I651">
            <v>25.07</v>
          </cell>
          <cell r="P651">
            <v>0</v>
          </cell>
          <cell r="R651">
            <v>1</v>
          </cell>
          <cell r="X651">
            <v>18</v>
          </cell>
          <cell r="Y651">
            <v>451.26</v>
          </cell>
          <cell r="Z651">
            <v>1</v>
          </cell>
          <cell r="AB651">
            <v>0</v>
          </cell>
        </row>
        <row r="652">
          <cell r="AB652">
            <v>0</v>
          </cell>
        </row>
        <row r="653">
          <cell r="H653">
            <v>2</v>
          </cell>
          <cell r="I653">
            <v>6.6</v>
          </cell>
          <cell r="P653">
            <v>0</v>
          </cell>
          <cell r="R653">
            <v>1</v>
          </cell>
          <cell r="X653">
            <v>2</v>
          </cell>
          <cell r="Y653">
            <v>13.2</v>
          </cell>
          <cell r="Z653">
            <v>1</v>
          </cell>
          <cell r="AB653">
            <v>0</v>
          </cell>
        </row>
        <row r="654">
          <cell r="AB654">
            <v>0</v>
          </cell>
        </row>
        <row r="655">
          <cell r="H655">
            <v>3</v>
          </cell>
          <cell r="I655">
            <v>11.77</v>
          </cell>
          <cell r="P655">
            <v>0</v>
          </cell>
          <cell r="R655">
            <v>1</v>
          </cell>
          <cell r="X655">
            <v>3</v>
          </cell>
          <cell r="Y655">
            <v>35.31</v>
          </cell>
          <cell r="Z655">
            <v>1</v>
          </cell>
          <cell r="AB655">
            <v>0</v>
          </cell>
        </row>
        <row r="656">
          <cell r="H656">
            <v>3</v>
          </cell>
          <cell r="I656">
            <v>14.54</v>
          </cell>
          <cell r="P656">
            <v>0</v>
          </cell>
          <cell r="R656">
            <v>1</v>
          </cell>
          <cell r="X656">
            <v>3</v>
          </cell>
          <cell r="Y656">
            <v>43.62</v>
          </cell>
          <cell r="Z656">
            <v>1</v>
          </cell>
          <cell r="AB656">
            <v>0</v>
          </cell>
        </row>
        <row r="657">
          <cell r="AB657">
            <v>0</v>
          </cell>
        </row>
        <row r="658">
          <cell r="H658">
            <v>8</v>
          </cell>
          <cell r="I658">
            <v>8.4700000000000006</v>
          </cell>
          <cell r="P658">
            <v>0</v>
          </cell>
          <cell r="R658">
            <v>0</v>
          </cell>
          <cell r="X658">
            <v>8</v>
          </cell>
          <cell r="Y658">
            <v>67.760000000000005</v>
          </cell>
          <cell r="Z658">
            <v>1</v>
          </cell>
          <cell r="AB658">
            <v>0</v>
          </cell>
        </row>
        <row r="659">
          <cell r="H659">
            <v>2</v>
          </cell>
          <cell r="I659">
            <v>7.05</v>
          </cell>
          <cell r="P659">
            <v>0</v>
          </cell>
          <cell r="R659">
            <v>0</v>
          </cell>
          <cell r="X659">
            <v>2</v>
          </cell>
          <cell r="Y659">
            <v>14.1</v>
          </cell>
          <cell r="Z659">
            <v>1</v>
          </cell>
          <cell r="AB659">
            <v>0</v>
          </cell>
        </row>
        <row r="660">
          <cell r="AB660">
            <v>0</v>
          </cell>
        </row>
        <row r="661">
          <cell r="H661">
            <v>2</v>
          </cell>
          <cell r="I661">
            <v>9.5</v>
          </cell>
          <cell r="P661">
            <v>0</v>
          </cell>
          <cell r="R661">
            <v>0</v>
          </cell>
          <cell r="X661">
            <v>2</v>
          </cell>
          <cell r="Y661">
            <v>19</v>
          </cell>
          <cell r="Z661">
            <v>1</v>
          </cell>
          <cell r="AB661">
            <v>0</v>
          </cell>
        </row>
        <row r="662">
          <cell r="AB662">
            <v>0</v>
          </cell>
        </row>
        <row r="663">
          <cell r="H663">
            <v>3</v>
          </cell>
          <cell r="I663">
            <v>26.3</v>
          </cell>
          <cell r="P663">
            <v>0</v>
          </cell>
          <cell r="R663">
            <v>0</v>
          </cell>
          <cell r="X663">
            <v>3</v>
          </cell>
          <cell r="Y663">
            <v>78.900000000000006</v>
          </cell>
          <cell r="Z663">
            <v>1</v>
          </cell>
          <cell r="AB663">
            <v>0</v>
          </cell>
        </row>
        <row r="664">
          <cell r="AB664">
            <v>0</v>
          </cell>
        </row>
        <row r="665">
          <cell r="H665">
            <v>3</v>
          </cell>
          <cell r="I665">
            <v>12.85</v>
          </cell>
          <cell r="P665">
            <v>0</v>
          </cell>
          <cell r="R665">
            <v>1</v>
          </cell>
          <cell r="X665">
            <v>3</v>
          </cell>
          <cell r="Y665">
            <v>38.549999999999997</v>
          </cell>
          <cell r="Z665">
            <v>1</v>
          </cell>
          <cell r="AB665">
            <v>0</v>
          </cell>
        </row>
        <row r="666">
          <cell r="H666">
            <v>5</v>
          </cell>
          <cell r="I666">
            <v>11.77</v>
          </cell>
          <cell r="P666">
            <v>0</v>
          </cell>
          <cell r="R666">
            <v>1</v>
          </cell>
          <cell r="X666">
            <v>5</v>
          </cell>
          <cell r="Y666">
            <v>58.85</v>
          </cell>
          <cell r="Z666">
            <v>1</v>
          </cell>
          <cell r="AB666">
            <v>0</v>
          </cell>
        </row>
        <row r="667">
          <cell r="AB667">
            <v>0</v>
          </cell>
        </row>
        <row r="668">
          <cell r="H668">
            <v>4</v>
          </cell>
          <cell r="I668">
            <v>44.87</v>
          </cell>
          <cell r="P668">
            <v>0</v>
          </cell>
          <cell r="R668">
            <v>0</v>
          </cell>
          <cell r="X668">
            <v>4</v>
          </cell>
          <cell r="Y668">
            <v>179.48</v>
          </cell>
          <cell r="Z668">
            <v>1</v>
          </cell>
          <cell r="AB668">
            <v>0</v>
          </cell>
        </row>
        <row r="669">
          <cell r="AB669">
            <v>0</v>
          </cell>
        </row>
        <row r="670">
          <cell r="H670">
            <v>1</v>
          </cell>
          <cell r="I670">
            <v>3.33</v>
          </cell>
          <cell r="P670">
            <v>0</v>
          </cell>
          <cell r="R670">
            <v>0</v>
          </cell>
          <cell r="X670">
            <v>1</v>
          </cell>
          <cell r="Y670">
            <v>3.33</v>
          </cell>
          <cell r="Z670">
            <v>1</v>
          </cell>
          <cell r="AB670">
            <v>0</v>
          </cell>
        </row>
        <row r="671">
          <cell r="H671">
            <v>2</v>
          </cell>
          <cell r="I671">
            <v>2.14</v>
          </cell>
          <cell r="P671">
            <v>0</v>
          </cell>
          <cell r="R671">
            <v>0</v>
          </cell>
          <cell r="X671">
            <v>2</v>
          </cell>
          <cell r="Y671">
            <v>4.28</v>
          </cell>
          <cell r="Z671">
            <v>1</v>
          </cell>
          <cell r="AB671">
            <v>0</v>
          </cell>
        </row>
        <row r="672">
          <cell r="AB672">
            <v>0</v>
          </cell>
        </row>
        <row r="673">
          <cell r="U673">
            <v>0</v>
          </cell>
          <cell r="W673">
            <v>0</v>
          </cell>
          <cell r="Y673">
            <v>607.24000000000012</v>
          </cell>
          <cell r="Z673">
            <v>1</v>
          </cell>
          <cell r="AB673">
            <v>0</v>
          </cell>
        </row>
        <row r="674">
          <cell r="AB674">
            <v>0</v>
          </cell>
        </row>
        <row r="675">
          <cell r="H675">
            <v>2</v>
          </cell>
          <cell r="I675">
            <v>22.6</v>
          </cell>
          <cell r="P675">
            <v>0</v>
          </cell>
          <cell r="R675">
            <v>0</v>
          </cell>
          <cell r="X675">
            <v>2</v>
          </cell>
          <cell r="Y675">
            <v>45.2</v>
          </cell>
          <cell r="Z675">
            <v>1</v>
          </cell>
          <cell r="AB675">
            <v>0</v>
          </cell>
        </row>
        <row r="676">
          <cell r="AB676">
            <v>0</v>
          </cell>
        </row>
        <row r="677">
          <cell r="H677">
            <v>1</v>
          </cell>
          <cell r="I677">
            <v>97.1</v>
          </cell>
          <cell r="P677">
            <v>0</v>
          </cell>
          <cell r="R677">
            <v>0</v>
          </cell>
          <cell r="X677">
            <v>1</v>
          </cell>
          <cell r="Y677">
            <v>97.1</v>
          </cell>
          <cell r="Z677">
            <v>1</v>
          </cell>
          <cell r="AB677">
            <v>0</v>
          </cell>
        </row>
        <row r="678">
          <cell r="H678">
            <v>2</v>
          </cell>
          <cell r="I678">
            <v>97.1</v>
          </cell>
          <cell r="P678">
            <v>0</v>
          </cell>
          <cell r="R678">
            <v>0</v>
          </cell>
          <cell r="X678">
            <v>2</v>
          </cell>
          <cell r="Y678">
            <v>194.2</v>
          </cell>
          <cell r="Z678">
            <v>1</v>
          </cell>
          <cell r="AB678">
            <v>0</v>
          </cell>
        </row>
        <row r="679">
          <cell r="AB679">
            <v>0</v>
          </cell>
        </row>
        <row r="680">
          <cell r="H680">
            <v>2</v>
          </cell>
          <cell r="I680">
            <v>97.1</v>
          </cell>
          <cell r="P680">
            <v>0</v>
          </cell>
          <cell r="R680">
            <v>0</v>
          </cell>
          <cell r="X680">
            <v>2</v>
          </cell>
          <cell r="Y680">
            <v>194.2</v>
          </cell>
          <cell r="Z680">
            <v>1</v>
          </cell>
          <cell r="AB680">
            <v>0</v>
          </cell>
        </row>
        <row r="681">
          <cell r="AB681">
            <v>0</v>
          </cell>
        </row>
        <row r="682">
          <cell r="H682">
            <v>1</v>
          </cell>
          <cell r="I682">
            <v>57.34</v>
          </cell>
          <cell r="P682">
            <v>0</v>
          </cell>
          <cell r="R682">
            <v>0</v>
          </cell>
          <cell r="X682">
            <v>1</v>
          </cell>
          <cell r="Y682">
            <v>57.34</v>
          </cell>
          <cell r="Z682">
            <v>1</v>
          </cell>
          <cell r="AB682">
            <v>0</v>
          </cell>
        </row>
        <row r="683">
          <cell r="AB683">
            <v>0</v>
          </cell>
        </row>
        <row r="684">
          <cell r="H684">
            <v>6</v>
          </cell>
          <cell r="I684">
            <v>3.2</v>
          </cell>
          <cell r="P684">
            <v>0</v>
          </cell>
          <cell r="R684">
            <v>0</v>
          </cell>
          <cell r="X684">
            <v>6</v>
          </cell>
          <cell r="Y684">
            <v>19.2</v>
          </cell>
          <cell r="Z684">
            <v>1</v>
          </cell>
          <cell r="AB684">
            <v>0</v>
          </cell>
        </row>
        <row r="685">
          <cell r="AB685">
            <v>0</v>
          </cell>
        </row>
        <row r="686">
          <cell r="U686">
            <v>0</v>
          </cell>
          <cell r="W686">
            <v>0</v>
          </cell>
          <cell r="Y686">
            <v>9537.6299999999956</v>
          </cell>
          <cell r="Z686">
            <v>1</v>
          </cell>
          <cell r="AB686">
            <v>0</v>
          </cell>
        </row>
        <row r="687">
          <cell r="U687">
            <v>0</v>
          </cell>
          <cell r="W687">
            <v>0</v>
          </cell>
          <cell r="Y687">
            <v>9537.6299999999956</v>
          </cell>
          <cell r="Z687">
            <v>1</v>
          </cell>
          <cell r="AB687">
            <v>0</v>
          </cell>
        </row>
        <row r="688">
          <cell r="H688">
            <v>8</v>
          </cell>
          <cell r="I688">
            <v>175.36</v>
          </cell>
          <cell r="P688">
            <v>0</v>
          </cell>
          <cell r="R688">
            <v>0</v>
          </cell>
          <cell r="X688">
            <v>8</v>
          </cell>
          <cell r="Y688">
            <v>1402.88</v>
          </cell>
          <cell r="Z688">
            <v>1</v>
          </cell>
          <cell r="AB688">
            <v>0</v>
          </cell>
        </row>
        <row r="689">
          <cell r="H689">
            <v>2</v>
          </cell>
          <cell r="I689">
            <v>115.49</v>
          </cell>
          <cell r="P689">
            <v>0</v>
          </cell>
          <cell r="R689">
            <v>0</v>
          </cell>
          <cell r="X689">
            <v>2</v>
          </cell>
          <cell r="Y689">
            <v>230.98</v>
          </cell>
          <cell r="Z689">
            <v>1</v>
          </cell>
          <cell r="AB689">
            <v>0</v>
          </cell>
        </row>
        <row r="690">
          <cell r="H690">
            <v>5</v>
          </cell>
          <cell r="I690">
            <v>155.31</v>
          </cell>
          <cell r="P690">
            <v>0</v>
          </cell>
          <cell r="R690">
            <v>0</v>
          </cell>
          <cell r="X690">
            <v>5</v>
          </cell>
          <cell r="Y690">
            <v>776.55</v>
          </cell>
          <cell r="Z690">
            <v>1</v>
          </cell>
          <cell r="AB690">
            <v>0</v>
          </cell>
        </row>
        <row r="691">
          <cell r="H691">
            <v>38</v>
          </cell>
          <cell r="I691">
            <v>155.31</v>
          </cell>
          <cell r="P691">
            <v>0</v>
          </cell>
          <cell r="R691">
            <v>0</v>
          </cell>
          <cell r="X691">
            <v>38</v>
          </cell>
          <cell r="Y691">
            <v>5901.78</v>
          </cell>
          <cell r="Z691">
            <v>1</v>
          </cell>
          <cell r="AB691">
            <v>0</v>
          </cell>
        </row>
        <row r="692">
          <cell r="H692">
            <v>2</v>
          </cell>
          <cell r="I692">
            <v>269.82</v>
          </cell>
          <cell r="P692">
            <v>0</v>
          </cell>
          <cell r="R692">
            <v>0</v>
          </cell>
          <cell r="X692">
            <v>2</v>
          </cell>
          <cell r="Y692">
            <v>539.64</v>
          </cell>
          <cell r="Z692">
            <v>1</v>
          </cell>
          <cell r="AB692">
            <v>0</v>
          </cell>
        </row>
        <row r="693">
          <cell r="H693">
            <v>9</v>
          </cell>
          <cell r="I693">
            <v>19.05</v>
          </cell>
          <cell r="P693">
            <v>0</v>
          </cell>
          <cell r="R693">
            <v>0</v>
          </cell>
          <cell r="X693">
            <v>9</v>
          </cell>
          <cell r="Y693">
            <v>171.45</v>
          </cell>
          <cell r="Z693">
            <v>1</v>
          </cell>
          <cell r="AB693">
            <v>0</v>
          </cell>
        </row>
        <row r="694">
          <cell r="H694">
            <v>8</v>
          </cell>
          <cell r="I694">
            <v>19.05</v>
          </cell>
          <cell r="P694">
            <v>0</v>
          </cell>
          <cell r="R694">
            <v>0</v>
          </cell>
          <cell r="X694">
            <v>8</v>
          </cell>
          <cell r="Y694">
            <v>152.4</v>
          </cell>
          <cell r="Z694">
            <v>1</v>
          </cell>
          <cell r="AB694">
            <v>0</v>
          </cell>
        </row>
        <row r="695">
          <cell r="H695">
            <v>8</v>
          </cell>
          <cell r="I695">
            <v>19.05</v>
          </cell>
          <cell r="P695">
            <v>0</v>
          </cell>
          <cell r="R695">
            <v>0</v>
          </cell>
          <cell r="X695">
            <v>8</v>
          </cell>
          <cell r="Y695">
            <v>152.4</v>
          </cell>
          <cell r="Z695">
            <v>1</v>
          </cell>
          <cell r="AB695">
            <v>0</v>
          </cell>
        </row>
        <row r="696">
          <cell r="H696">
            <v>1</v>
          </cell>
          <cell r="I696">
            <v>19.05</v>
          </cell>
          <cell r="P696">
            <v>0</v>
          </cell>
          <cell r="R696">
            <v>0</v>
          </cell>
          <cell r="X696">
            <v>1</v>
          </cell>
          <cell r="Y696">
            <v>19.05</v>
          </cell>
          <cell r="Z696">
            <v>1</v>
          </cell>
          <cell r="AB696">
            <v>0</v>
          </cell>
        </row>
        <row r="697">
          <cell r="H697">
            <v>1</v>
          </cell>
          <cell r="I697">
            <v>19.05</v>
          </cell>
          <cell r="P697">
            <v>0</v>
          </cell>
          <cell r="R697">
            <v>0</v>
          </cell>
          <cell r="X697">
            <v>1</v>
          </cell>
          <cell r="Y697">
            <v>19.05</v>
          </cell>
          <cell r="Z697">
            <v>1</v>
          </cell>
          <cell r="AB697">
            <v>0</v>
          </cell>
        </row>
        <row r="698">
          <cell r="H698">
            <v>1</v>
          </cell>
          <cell r="I698">
            <v>19.05</v>
          </cell>
          <cell r="P698">
            <v>0</v>
          </cell>
          <cell r="R698">
            <v>0</v>
          </cell>
          <cell r="X698">
            <v>1</v>
          </cell>
          <cell r="Y698">
            <v>19.05</v>
          </cell>
          <cell r="Z698">
            <v>1</v>
          </cell>
          <cell r="AB698">
            <v>0</v>
          </cell>
        </row>
        <row r="699">
          <cell r="H699">
            <v>8</v>
          </cell>
          <cell r="I699">
            <v>19.05</v>
          </cell>
          <cell r="P699">
            <v>0</v>
          </cell>
          <cell r="R699">
            <v>0</v>
          </cell>
          <cell r="X699">
            <v>8</v>
          </cell>
          <cell r="Y699">
            <v>152.4</v>
          </cell>
          <cell r="Z699">
            <v>1</v>
          </cell>
          <cell r="AB699">
            <v>0</v>
          </cell>
        </row>
        <row r="700">
          <cell r="AB700">
            <v>0</v>
          </cell>
        </row>
        <row r="701">
          <cell r="U701">
            <v>0</v>
          </cell>
          <cell r="W701">
            <v>0</v>
          </cell>
          <cell r="Y701">
            <v>1611.85</v>
          </cell>
          <cell r="Z701">
            <v>1</v>
          </cell>
          <cell r="AB701">
            <v>0</v>
          </cell>
        </row>
        <row r="702">
          <cell r="H702">
            <v>1211.92</v>
          </cell>
          <cell r="I702">
            <v>1.33</v>
          </cell>
          <cell r="P702">
            <v>0</v>
          </cell>
          <cell r="R702">
            <v>0</v>
          </cell>
          <cell r="X702">
            <v>1211.92</v>
          </cell>
          <cell r="Y702">
            <v>1611.85</v>
          </cell>
          <cell r="Z702">
            <v>1</v>
          </cell>
          <cell r="AB702">
            <v>0</v>
          </cell>
        </row>
        <row r="703">
          <cell r="AB703">
            <v>0</v>
          </cell>
        </row>
        <row r="704">
          <cell r="U704">
            <v>0</v>
          </cell>
          <cell r="W704">
            <v>12594.22</v>
          </cell>
          <cell r="Y704">
            <v>40716.410000000003</v>
          </cell>
          <cell r="Z704">
            <v>1.4478392330042575</v>
          </cell>
          <cell r="AB704">
            <v>0</v>
          </cell>
        </row>
        <row r="705">
          <cell r="U705">
            <v>0</v>
          </cell>
          <cell r="W705">
            <v>0</v>
          </cell>
          <cell r="Y705">
            <v>21281.48</v>
          </cell>
          <cell r="Z705">
            <v>1</v>
          </cell>
          <cell r="AB705">
            <v>0</v>
          </cell>
        </row>
        <row r="706">
          <cell r="H706">
            <v>484</v>
          </cell>
          <cell r="I706">
            <v>43.97</v>
          </cell>
          <cell r="P706">
            <v>0</v>
          </cell>
          <cell r="R706">
            <v>1</v>
          </cell>
          <cell r="X706">
            <v>484</v>
          </cell>
          <cell r="Y706">
            <v>21281.48</v>
          </cell>
          <cell r="Z706">
            <v>1</v>
          </cell>
          <cell r="AB706">
            <v>0</v>
          </cell>
        </row>
        <row r="707">
          <cell r="U707">
            <v>0</v>
          </cell>
          <cell r="W707">
            <v>0</v>
          </cell>
          <cell r="Y707">
            <v>4672.7100000000009</v>
          </cell>
          <cell r="Z707">
            <v>1</v>
          </cell>
          <cell r="AB707">
            <v>0</v>
          </cell>
        </row>
        <row r="708">
          <cell r="H708">
            <v>4</v>
          </cell>
          <cell r="I708">
            <v>16.440000000000001</v>
          </cell>
          <cell r="P708">
            <v>0.34750000000000014</v>
          </cell>
          <cell r="R708">
            <v>0.34750000000000014</v>
          </cell>
          <cell r="X708">
            <v>4</v>
          </cell>
          <cell r="Y708">
            <v>65.760000000000005</v>
          </cell>
          <cell r="Z708">
            <v>1</v>
          </cell>
          <cell r="AB708">
            <v>0</v>
          </cell>
        </row>
        <row r="709">
          <cell r="H709">
            <v>30</v>
          </cell>
          <cell r="I709">
            <v>55.1</v>
          </cell>
          <cell r="P709">
            <v>0.19266666666666576</v>
          </cell>
          <cell r="R709">
            <v>0.19266666666666576</v>
          </cell>
          <cell r="X709">
            <v>30</v>
          </cell>
          <cell r="Y709">
            <v>1653</v>
          </cell>
          <cell r="Z709">
            <v>1</v>
          </cell>
          <cell r="AB709">
            <v>0</v>
          </cell>
        </row>
        <row r="710">
          <cell r="H710">
            <v>0.5</v>
          </cell>
          <cell r="I710">
            <v>437.24</v>
          </cell>
          <cell r="P710">
            <v>0.37999999999999901</v>
          </cell>
          <cell r="R710">
            <v>0.37999999999999901</v>
          </cell>
          <cell r="X710">
            <v>0.5</v>
          </cell>
          <cell r="Y710">
            <v>218.62</v>
          </cell>
          <cell r="Z710">
            <v>1</v>
          </cell>
          <cell r="AB710">
            <v>0</v>
          </cell>
        </row>
        <row r="711">
          <cell r="H711">
            <v>3</v>
          </cell>
          <cell r="I711">
            <v>377.41</v>
          </cell>
          <cell r="P711">
            <v>0.2600000000000004</v>
          </cell>
          <cell r="R711">
            <v>0.2600000000000004</v>
          </cell>
          <cell r="X711">
            <v>3</v>
          </cell>
          <cell r="Y711">
            <v>1132.23</v>
          </cell>
          <cell r="Z711">
            <v>1</v>
          </cell>
          <cell r="AB711">
            <v>0</v>
          </cell>
        </row>
        <row r="712">
          <cell r="H712">
            <v>200</v>
          </cell>
          <cell r="I712">
            <v>7.42</v>
          </cell>
          <cell r="P712">
            <v>0.26335000000000053</v>
          </cell>
          <cell r="R712">
            <v>0.26335000000000053</v>
          </cell>
          <cell r="X712">
            <v>200</v>
          </cell>
          <cell r="Y712">
            <v>1484</v>
          </cell>
          <cell r="Z712">
            <v>1</v>
          </cell>
          <cell r="AB712">
            <v>0</v>
          </cell>
        </row>
        <row r="713">
          <cell r="H713">
            <v>15</v>
          </cell>
          <cell r="I713">
            <v>7.94</v>
          </cell>
          <cell r="P713">
            <v>1</v>
          </cell>
          <cell r="R713">
            <v>1</v>
          </cell>
          <cell r="X713">
            <v>15</v>
          </cell>
          <cell r="Y713">
            <v>119.1</v>
          </cell>
          <cell r="Z713">
            <v>1</v>
          </cell>
          <cell r="AB713">
            <v>0</v>
          </cell>
        </row>
        <row r="714">
          <cell r="W714">
            <v>12594.22</v>
          </cell>
          <cell r="Y714">
            <v>14762.22</v>
          </cell>
          <cell r="Z714">
            <v>6.8091420664206641</v>
          </cell>
          <cell r="AB714">
            <v>0</v>
          </cell>
        </row>
        <row r="715">
          <cell r="H715">
            <v>800</v>
          </cell>
          <cell r="I715">
            <v>2.71</v>
          </cell>
          <cell r="P715">
            <v>0</v>
          </cell>
          <cell r="R715">
            <v>0.99491249999999998</v>
          </cell>
          <cell r="V715">
            <v>4647.3149999999996</v>
          </cell>
          <cell r="W715">
            <v>12594.22</v>
          </cell>
          <cell r="X715">
            <v>5447.3149999999996</v>
          </cell>
          <cell r="Y715">
            <v>14762.22</v>
          </cell>
          <cell r="Z715">
            <v>6.8091420664206641</v>
          </cell>
          <cell r="AB715">
            <v>0</v>
          </cell>
        </row>
        <row r="716">
          <cell r="T716">
            <v>85048.18</v>
          </cell>
          <cell r="V716">
            <v>154806.21</v>
          </cell>
          <cell r="X716">
            <v>1149157.97</v>
          </cell>
          <cell r="Z716">
            <v>1.0646266166388734</v>
          </cell>
        </row>
        <row r="717">
          <cell r="Y717">
            <v>76542.880000000005</v>
          </cell>
          <cell r="Z717">
            <v>7.09124328330554E-2</v>
          </cell>
          <cell r="AB717">
            <v>0</v>
          </cell>
        </row>
        <row r="719">
          <cell r="I719">
            <v>10.8</v>
          </cell>
          <cell r="X719">
            <v>105.60000000000001</v>
          </cell>
          <cell r="Y719">
            <v>1140.48</v>
          </cell>
          <cell r="Z719">
            <v>1.0565869927737631E-3</v>
          </cell>
        </row>
        <row r="721">
          <cell r="I721">
            <v>67.239999999999995</v>
          </cell>
          <cell r="X721">
            <v>141.6</v>
          </cell>
          <cell r="Y721">
            <v>9521.18</v>
          </cell>
          <cell r="Z721">
            <v>8.8208078562164172E-3</v>
          </cell>
        </row>
        <row r="723">
          <cell r="I723">
            <v>13.01</v>
          </cell>
          <cell r="X723">
            <v>271.70960000000031</v>
          </cell>
          <cell r="Y723">
            <v>3534.94</v>
          </cell>
          <cell r="Z723">
            <v>3.27491198814156E-3</v>
          </cell>
        </row>
        <row r="724">
          <cell r="I724">
            <v>41.12</v>
          </cell>
          <cell r="X724">
            <v>1250.7175</v>
          </cell>
          <cell r="Y724">
            <v>51429.5</v>
          </cell>
          <cell r="Z724">
            <v>4.7646377617194736E-2</v>
          </cell>
        </row>
        <row r="726">
          <cell r="I726">
            <v>49.83</v>
          </cell>
          <cell r="X726">
            <v>21.5</v>
          </cell>
          <cell r="Y726">
            <v>1071.3399999999999</v>
          </cell>
          <cell r="Z726">
            <v>9.9253288864183803E-4</v>
          </cell>
        </row>
        <row r="727">
          <cell r="I727">
            <v>91.41</v>
          </cell>
          <cell r="X727">
            <v>86</v>
          </cell>
          <cell r="Y727">
            <v>7861.26</v>
          </cell>
          <cell r="Z727">
            <v>7.2829905503057259E-3</v>
          </cell>
        </row>
        <row r="729">
          <cell r="I729">
            <v>128.80000000000001</v>
          </cell>
          <cell r="X729">
            <v>16</v>
          </cell>
          <cell r="Y729">
            <v>2060.8000000000002</v>
          </cell>
          <cell r="Z729">
            <v>1.9092088197146565E-3</v>
          </cell>
        </row>
        <row r="730">
          <cell r="T730">
            <v>85048.18</v>
          </cell>
          <cell r="V730">
            <v>154806.21</v>
          </cell>
          <cell r="X730">
            <v>146300.91</v>
          </cell>
          <cell r="Z730">
            <v>0.13553910505836575</v>
          </cell>
        </row>
        <row r="732">
          <cell r="H732" t="str">
            <v>Orçamento inicial</v>
          </cell>
          <cell r="K732" t="str">
            <v>Aditivos aprovados</v>
          </cell>
          <cell r="P732" t="str">
            <v>Observações</v>
          </cell>
        </row>
        <row r="733">
          <cell r="H733">
            <v>1079400</v>
          </cell>
          <cell r="L733">
            <v>0</v>
          </cell>
          <cell r="P733" t="str">
            <v>1) Os itens inseridos em Replanilhamento Nº02 foram adequados ao BDI=25,5% e retirados da tabela desonerada.</v>
          </cell>
        </row>
        <row r="734">
          <cell r="P734" t="str">
            <v>2) Foi aplicado desconto de 0,10% nos itens novos, conforme resumo do Aditivo.</v>
          </cell>
        </row>
        <row r="735">
          <cell r="I735" t="str">
            <v xml:space="preserve">Total </v>
          </cell>
        </row>
        <row r="736">
          <cell r="K736">
            <v>1079400</v>
          </cell>
        </row>
        <row r="737">
          <cell r="K737">
            <v>154806.21</v>
          </cell>
        </row>
        <row r="738">
          <cell r="K738">
            <v>85048.18</v>
          </cell>
        </row>
        <row r="739">
          <cell r="K739">
            <v>76542.880000000005</v>
          </cell>
        </row>
        <row r="740">
          <cell r="K740">
            <v>1225700.9099999999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Orçamento e Medição - MO37587"/>
      <sheetName val="RESUMO - MO37588"/>
    </sheetNames>
    <sheetDataSet>
      <sheetData sheetId="0"/>
      <sheetData sheetId="1">
        <row r="2">
          <cell r="M2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oleObject" Target="../embeddings/oleObject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oleObject" Target="../embeddings/oleObject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oleObject" Target="../embeddings/oleObject5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6.bin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7.bin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1"/>
  <sheetViews>
    <sheetView view="pageBreakPreview" zoomScaleSheetLayoutView="100" workbookViewId="0">
      <selection activeCell="B26" sqref="B26"/>
    </sheetView>
  </sheetViews>
  <sheetFormatPr defaultRowHeight="12.75"/>
  <cols>
    <col min="1" max="1" width="54.85546875" style="68" customWidth="1"/>
    <col min="2" max="2" width="11.85546875" style="68" customWidth="1"/>
    <col min="3" max="3" width="11.140625" style="68" customWidth="1"/>
    <col min="4" max="4" width="4" style="68" customWidth="1"/>
    <col min="5" max="16384" width="9.140625" style="34"/>
  </cols>
  <sheetData>
    <row r="1" spans="1:9">
      <c r="A1" s="766" t="s">
        <v>38</v>
      </c>
      <c r="B1" s="767"/>
      <c r="C1" s="767"/>
      <c r="D1" s="768"/>
    </row>
    <row r="2" spans="1:9">
      <c r="A2" s="769"/>
      <c r="B2" s="770"/>
      <c r="C2" s="770"/>
      <c r="D2" s="771"/>
    </row>
    <row r="3" spans="1:9">
      <c r="A3" s="769"/>
      <c r="B3" s="770"/>
      <c r="C3" s="770"/>
      <c r="D3" s="771"/>
    </row>
    <row r="4" spans="1:9">
      <c r="A4" s="769"/>
      <c r="B4" s="770"/>
      <c r="C4" s="770"/>
      <c r="D4" s="771"/>
    </row>
    <row r="5" spans="1:9">
      <c r="A5" s="769"/>
      <c r="B5" s="770"/>
      <c r="C5" s="770"/>
      <c r="D5" s="771"/>
    </row>
    <row r="6" spans="1:9" ht="13.5" thickBot="1">
      <c r="A6" s="772"/>
      <c r="B6" s="773"/>
      <c r="C6" s="773"/>
      <c r="D6" s="774"/>
    </row>
    <row r="7" spans="1:9" ht="25.5" customHeight="1" thickBot="1">
      <c r="A7" s="775" t="s">
        <v>39</v>
      </c>
      <c r="B7" s="776"/>
      <c r="C7" s="776"/>
      <c r="D7" s="777"/>
      <c r="E7" s="35"/>
    </row>
    <row r="8" spans="1:9" ht="9.75" customHeight="1" thickBot="1">
      <c r="A8" s="763"/>
      <c r="B8" s="764"/>
      <c r="C8" s="764"/>
      <c r="D8" s="765"/>
      <c r="E8" s="35"/>
    </row>
    <row r="9" spans="1:9" ht="15.75">
      <c r="A9" s="778" t="s">
        <v>63</v>
      </c>
      <c r="B9" s="779"/>
      <c r="C9" s="779"/>
      <c r="D9" s="780"/>
      <c r="E9" s="35"/>
    </row>
    <row r="10" spans="1:9" ht="16.5" thickBot="1">
      <c r="A10" s="778" t="s">
        <v>64</v>
      </c>
      <c r="B10" s="779"/>
      <c r="C10" s="779"/>
      <c r="D10" s="780"/>
      <c r="E10" s="35"/>
    </row>
    <row r="11" spans="1:9" ht="9.75" customHeight="1" thickBot="1">
      <c r="A11" s="763"/>
      <c r="B11" s="764"/>
      <c r="C11" s="764"/>
      <c r="D11" s="765"/>
      <c r="E11" s="35"/>
    </row>
    <row r="12" spans="1:9">
      <c r="A12" s="36"/>
      <c r="B12" s="37"/>
      <c r="C12" s="37"/>
      <c r="D12" s="38"/>
    </row>
    <row r="13" spans="1:9" ht="15">
      <c r="A13" s="39" t="s">
        <v>40</v>
      </c>
      <c r="B13" s="40"/>
      <c r="C13" s="40"/>
      <c r="D13" s="41"/>
      <c r="E13" s="42"/>
      <c r="F13" s="42"/>
      <c r="G13" s="42"/>
      <c r="H13" s="42"/>
      <c r="I13" s="42"/>
    </row>
    <row r="14" spans="1:9">
      <c r="A14" s="43"/>
      <c r="B14" s="44"/>
      <c r="C14" s="44"/>
      <c r="D14" s="45"/>
      <c r="E14" s="46"/>
      <c r="F14" s="46"/>
      <c r="G14" s="46"/>
      <c r="H14" s="46"/>
      <c r="I14" s="46"/>
    </row>
    <row r="15" spans="1:9" ht="15.75">
      <c r="A15" s="47" t="s">
        <v>41</v>
      </c>
      <c r="B15" s="48"/>
      <c r="C15" s="48"/>
      <c r="D15" s="38"/>
    </row>
    <row r="16" spans="1:9" ht="15.75">
      <c r="A16" s="47"/>
      <c r="B16" s="48"/>
      <c r="C16" s="48"/>
      <c r="D16" s="38"/>
    </row>
    <row r="17" spans="1:4" ht="15">
      <c r="A17" s="49" t="s">
        <v>42</v>
      </c>
      <c r="B17" s="50">
        <v>3</v>
      </c>
      <c r="C17" s="51" t="s">
        <v>43</v>
      </c>
      <c r="D17" s="38"/>
    </row>
    <row r="18" spans="1:4" ht="15">
      <c r="A18" s="49" t="s">
        <v>44</v>
      </c>
      <c r="B18" s="50">
        <v>0.6</v>
      </c>
      <c r="C18" s="51" t="s">
        <v>43</v>
      </c>
      <c r="D18" s="38"/>
    </row>
    <row r="19" spans="1:4" ht="15">
      <c r="A19" s="49" t="s">
        <v>45</v>
      </c>
      <c r="B19" s="50">
        <v>0.3</v>
      </c>
      <c r="C19" s="51" t="s">
        <v>43</v>
      </c>
      <c r="D19" s="38"/>
    </row>
    <row r="20" spans="1:4" ht="15">
      <c r="A20" s="49" t="s">
        <v>46</v>
      </c>
      <c r="B20" s="50">
        <v>0.3</v>
      </c>
      <c r="C20" s="51" t="s">
        <v>43</v>
      </c>
      <c r="D20" s="38"/>
    </row>
    <row r="21" spans="1:4" ht="15">
      <c r="A21" s="49" t="s">
        <v>47</v>
      </c>
      <c r="B21" s="50">
        <v>7</v>
      </c>
      <c r="C21" s="51" t="s">
        <v>43</v>
      </c>
      <c r="D21" s="38"/>
    </row>
    <row r="22" spans="1:4" ht="15">
      <c r="A22" s="52" t="s">
        <v>48</v>
      </c>
      <c r="B22" s="53">
        <f>SUM(B17:B21)</f>
        <v>11.2</v>
      </c>
      <c r="C22" s="54" t="s">
        <v>43</v>
      </c>
      <c r="D22" s="38"/>
    </row>
    <row r="23" spans="1:4">
      <c r="A23" s="36"/>
      <c r="B23" s="37"/>
      <c r="C23" s="37"/>
      <c r="D23" s="38"/>
    </row>
    <row r="24" spans="1:4" ht="15.75">
      <c r="A24" s="47" t="s">
        <v>49</v>
      </c>
      <c r="B24" s="37"/>
      <c r="C24" s="37"/>
      <c r="D24" s="38"/>
    </row>
    <row r="25" spans="1:4" ht="15.75">
      <c r="A25" s="47"/>
      <c r="B25" s="37"/>
      <c r="C25" s="37"/>
      <c r="D25" s="38"/>
    </row>
    <row r="26" spans="1:4" ht="15">
      <c r="A26" s="55" t="s">
        <v>50</v>
      </c>
      <c r="B26" s="56">
        <f>B27+B28+B29+B30</f>
        <v>9.65</v>
      </c>
      <c r="C26" s="57" t="s">
        <v>43</v>
      </c>
      <c r="D26" s="38"/>
    </row>
    <row r="27" spans="1:4" ht="15">
      <c r="A27" s="58" t="s">
        <v>51</v>
      </c>
      <c r="B27" s="59">
        <v>4</v>
      </c>
      <c r="C27" s="57" t="s">
        <v>43</v>
      </c>
      <c r="D27" s="38"/>
    </row>
    <row r="28" spans="1:4" ht="15">
      <c r="A28" s="60" t="s">
        <v>52</v>
      </c>
      <c r="B28" s="59">
        <v>3</v>
      </c>
      <c r="C28" s="57" t="s">
        <v>43</v>
      </c>
      <c r="D28" s="38"/>
    </row>
    <row r="29" spans="1:4" ht="15">
      <c r="A29" s="60" t="s">
        <v>53</v>
      </c>
      <c r="B29" s="59">
        <v>0.65</v>
      </c>
      <c r="C29" s="57" t="s">
        <v>43</v>
      </c>
      <c r="D29" s="38"/>
    </row>
    <row r="30" spans="1:4" ht="15">
      <c r="A30" s="60" t="s">
        <v>54</v>
      </c>
      <c r="B30" s="59">
        <v>2</v>
      </c>
      <c r="C30" s="57" t="s">
        <v>43</v>
      </c>
      <c r="D30" s="38"/>
    </row>
    <row r="31" spans="1:4" ht="15">
      <c r="A31" s="52" t="s">
        <v>55</v>
      </c>
      <c r="B31" s="61">
        <f>B26</f>
        <v>9.65</v>
      </c>
      <c r="C31" s="54" t="s">
        <v>43</v>
      </c>
      <c r="D31" s="38"/>
    </row>
    <row r="32" spans="1:4">
      <c r="A32" s="36"/>
      <c r="B32" s="37"/>
      <c r="C32" s="37"/>
      <c r="D32" s="38"/>
    </row>
    <row r="33" spans="1:6">
      <c r="A33" s="36"/>
      <c r="B33" s="37"/>
      <c r="C33" s="37"/>
      <c r="D33" s="38"/>
    </row>
    <row r="34" spans="1:6">
      <c r="A34" s="36"/>
      <c r="B34" s="37"/>
      <c r="C34" s="37"/>
      <c r="D34" s="38"/>
    </row>
    <row r="35" spans="1:6" ht="15.75">
      <c r="A35" s="47" t="s">
        <v>56</v>
      </c>
      <c r="B35" s="37"/>
      <c r="C35" s="37"/>
      <c r="D35" s="38"/>
    </row>
    <row r="36" spans="1:6">
      <c r="A36" s="36"/>
      <c r="B36" s="37"/>
      <c r="C36" s="37"/>
      <c r="D36" s="38"/>
    </row>
    <row r="37" spans="1:6">
      <c r="A37" s="36"/>
      <c r="B37" s="37"/>
      <c r="C37" s="37"/>
      <c r="D37" s="38"/>
    </row>
    <row r="38" spans="1:6">
      <c r="A38" s="36"/>
      <c r="B38" s="37"/>
      <c r="C38" s="37"/>
      <c r="D38" s="38"/>
    </row>
    <row r="39" spans="1:6" ht="31.5" customHeight="1">
      <c r="A39" s="36"/>
      <c r="B39" s="61"/>
      <c r="C39" s="62">
        <f>((((1+B17/100)*(1+B18/100)*(1+(B19+B20)/100)*(1+B21/100))/(1-(B31/100)))-1)*100</f>
        <v>23.449349817376898</v>
      </c>
      <c r="D39" s="63" t="s">
        <v>43</v>
      </c>
    </row>
    <row r="40" spans="1:6">
      <c r="A40" s="36"/>
      <c r="B40" s="37"/>
      <c r="C40" s="37"/>
      <c r="D40" s="38"/>
      <c r="F40" s="34" t="s">
        <v>18</v>
      </c>
    </row>
    <row r="41" spans="1:6">
      <c r="A41" s="36"/>
      <c r="B41" s="37"/>
      <c r="C41" s="37"/>
      <c r="D41" s="38"/>
    </row>
    <row r="42" spans="1:6">
      <c r="A42" s="36"/>
      <c r="B42" s="37"/>
      <c r="C42" s="37"/>
      <c r="D42" s="38"/>
    </row>
    <row r="43" spans="1:6" ht="99.75">
      <c r="A43" s="64" t="s">
        <v>57</v>
      </c>
      <c r="B43" s="37"/>
      <c r="C43" s="37"/>
      <c r="D43" s="38"/>
    </row>
    <row r="44" spans="1:6">
      <c r="A44" s="36"/>
      <c r="B44" s="37"/>
      <c r="C44" s="37"/>
      <c r="D44" s="38"/>
    </row>
    <row r="45" spans="1:6" ht="13.5" thickBot="1">
      <c r="A45" s="65"/>
      <c r="B45" s="66"/>
      <c r="C45" s="66"/>
      <c r="D45" s="67"/>
    </row>
    <row r="46" spans="1:6">
      <c r="A46" s="781" t="s">
        <v>58</v>
      </c>
      <c r="B46" s="782"/>
      <c r="C46" s="782"/>
      <c r="D46" s="783"/>
    </row>
    <row r="47" spans="1:6">
      <c r="A47" s="784" t="s">
        <v>59</v>
      </c>
      <c r="B47" s="785"/>
      <c r="C47" s="785"/>
      <c r="D47" s="786"/>
    </row>
    <row r="48" spans="1:6">
      <c r="A48" s="784" t="s">
        <v>60</v>
      </c>
      <c r="B48" s="785"/>
      <c r="C48" s="785"/>
      <c r="D48" s="786"/>
    </row>
    <row r="49" spans="1:4">
      <c r="A49" s="36"/>
      <c r="B49" s="37"/>
      <c r="C49" s="37"/>
      <c r="D49" s="38"/>
    </row>
    <row r="50" spans="1:4">
      <c r="A50" s="784" t="s">
        <v>61</v>
      </c>
      <c r="B50" s="785"/>
      <c r="C50" s="785"/>
      <c r="D50" s="786"/>
    </row>
    <row r="51" spans="1:4" ht="13.5" thickBot="1">
      <c r="A51" s="787" t="s">
        <v>62</v>
      </c>
      <c r="B51" s="788"/>
      <c r="C51" s="788"/>
      <c r="D51" s="789"/>
    </row>
  </sheetData>
  <protectedRanges>
    <protectedRange sqref="B17:B20" name="Intervalo1"/>
    <protectedRange sqref="B21 B27:B30" name="Intervalo2"/>
  </protectedRanges>
  <mergeCells count="11">
    <mergeCell ref="A46:D46"/>
    <mergeCell ref="A47:D47"/>
    <mergeCell ref="A48:D48"/>
    <mergeCell ref="A50:D50"/>
    <mergeCell ref="A51:D51"/>
    <mergeCell ref="A11:D11"/>
    <mergeCell ref="A1:D6"/>
    <mergeCell ref="A7:D7"/>
    <mergeCell ref="A8:D8"/>
    <mergeCell ref="A9:D9"/>
    <mergeCell ref="A10:D10"/>
  </mergeCells>
  <printOptions horizontalCentered="1"/>
  <pageMargins left="1.1811023622047245" right="0.78740157480314965" top="0.98425196850393704" bottom="0.98425196850393704" header="0.51181102362204722" footer="0.51181102362204722"/>
  <pageSetup paperSize="9" scale="88" orientation="portrait" r:id="rId1"/>
  <headerFooter alignWithMargins="0"/>
  <legacyDrawing r:id="rId2"/>
  <oleObjects>
    <oleObject progId="Equation.3" shapeId="3073" r:id="rId3"/>
    <oleObject shapeId="3074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:R194"/>
  <sheetViews>
    <sheetView tabSelected="1" view="pageBreakPreview" topLeftCell="A66" zoomScale="130" zoomScaleSheetLayoutView="130" workbookViewId="0">
      <selection activeCell="G69" sqref="G69:G70"/>
    </sheetView>
  </sheetViews>
  <sheetFormatPr defaultRowHeight="15"/>
  <cols>
    <col min="1" max="1" width="9.140625" style="1"/>
    <col min="2" max="2" width="9.5703125" style="1" customWidth="1"/>
    <col min="3" max="3" width="8.5703125" style="1" customWidth="1"/>
    <col min="4" max="4" width="37.85546875" style="1" customWidth="1"/>
    <col min="5" max="5" width="5.7109375" style="1" customWidth="1"/>
    <col min="6" max="6" width="8.5703125" style="1" bestFit="1" customWidth="1"/>
    <col min="7" max="7" width="10.5703125" style="4" bestFit="1" customWidth="1"/>
    <col min="8" max="8" width="10.5703125" style="4" customWidth="1"/>
    <col min="9" max="9" width="11.28515625" style="1" bestFit="1" customWidth="1"/>
    <col min="10" max="10" width="11.140625" bestFit="1" customWidth="1"/>
  </cols>
  <sheetData>
    <row r="1" spans="1:18" s="8" customFormat="1" ht="15.75" customHeight="1">
      <c r="A1" s="822"/>
      <c r="B1" s="823"/>
      <c r="C1" s="818" t="s">
        <v>362</v>
      </c>
      <c r="D1" s="812"/>
      <c r="E1" s="812"/>
      <c r="F1" s="812"/>
      <c r="G1" s="813"/>
      <c r="H1" s="812"/>
      <c r="I1" s="813"/>
    </row>
    <row r="2" spans="1:18" s="8" customFormat="1" ht="15.75" customHeight="1">
      <c r="A2" s="824"/>
      <c r="B2" s="825"/>
      <c r="C2" s="819"/>
      <c r="D2" s="814"/>
      <c r="E2" s="814"/>
      <c r="F2" s="814"/>
      <c r="G2" s="815"/>
      <c r="H2" s="814"/>
      <c r="I2" s="815"/>
    </row>
    <row r="3" spans="1:18" s="9" customFormat="1" ht="15.75" customHeight="1">
      <c r="A3" s="824"/>
      <c r="B3" s="825"/>
      <c r="C3" s="819"/>
      <c r="D3" s="814"/>
      <c r="E3" s="814"/>
      <c r="F3" s="814"/>
      <c r="G3" s="815"/>
      <c r="H3" s="814"/>
      <c r="I3" s="815"/>
    </row>
    <row r="4" spans="1:18" s="9" customFormat="1" ht="15.75" customHeight="1">
      <c r="A4" s="826"/>
      <c r="B4" s="827"/>
      <c r="C4" s="820"/>
      <c r="D4" s="816"/>
      <c r="E4" s="816"/>
      <c r="F4" s="816"/>
      <c r="G4" s="817"/>
      <c r="H4" s="816"/>
      <c r="I4" s="817"/>
    </row>
    <row r="5" spans="1:18" s="9" customFormat="1" ht="16.5">
      <c r="A5" s="10" t="s">
        <v>19</v>
      </c>
      <c r="B5" s="10"/>
      <c r="C5" s="10"/>
      <c r="D5" s="31"/>
      <c r="E5" s="32"/>
      <c r="F5" s="32"/>
      <c r="G5" s="33"/>
      <c r="H5" s="11" t="s">
        <v>169</v>
      </c>
      <c r="I5" s="12">
        <v>42195</v>
      </c>
    </row>
    <row r="6" spans="1:18" s="9" customFormat="1" ht="16.5">
      <c r="A6" s="828" t="s">
        <v>766</v>
      </c>
      <c r="B6" s="828"/>
      <c r="C6" s="828"/>
      <c r="D6" s="828"/>
      <c r="E6" s="828"/>
      <c r="F6" s="828"/>
      <c r="G6" s="828"/>
      <c r="H6" s="828"/>
      <c r="I6" s="828"/>
    </row>
    <row r="7" spans="1:18" s="9" customFormat="1" ht="18">
      <c r="A7" s="829" t="s">
        <v>417</v>
      </c>
      <c r="B7" s="829"/>
      <c r="C7" s="829"/>
      <c r="D7" s="829"/>
      <c r="E7" s="829"/>
      <c r="F7" s="829"/>
      <c r="G7" s="829"/>
      <c r="H7" s="829"/>
      <c r="I7" s="829"/>
    </row>
    <row r="8" spans="1:18" s="30" customFormat="1" ht="81" customHeight="1" thickBot="1">
      <c r="A8" s="830" t="s">
        <v>369</v>
      </c>
      <c r="B8" s="830"/>
      <c r="C8" s="830"/>
      <c r="D8" s="830"/>
      <c r="E8" s="830"/>
      <c r="F8" s="830"/>
      <c r="G8" s="830"/>
      <c r="H8" s="830"/>
      <c r="I8" s="830"/>
      <c r="J8" s="29"/>
    </row>
    <row r="9" spans="1:18" ht="26.25" thickBot="1">
      <c r="A9" s="288" t="s">
        <v>0</v>
      </c>
      <c r="B9" s="229" t="s">
        <v>1</v>
      </c>
      <c r="C9" s="230" t="s">
        <v>2</v>
      </c>
      <c r="D9" s="230" t="s">
        <v>3</v>
      </c>
      <c r="E9" s="230" t="s">
        <v>14</v>
      </c>
      <c r="F9" s="230" t="s">
        <v>15</v>
      </c>
      <c r="G9" s="230" t="s">
        <v>86</v>
      </c>
      <c r="H9" s="230" t="s">
        <v>35</v>
      </c>
      <c r="I9" s="289" t="s">
        <v>16</v>
      </c>
      <c r="J9">
        <v>1.2344999999999999</v>
      </c>
      <c r="K9">
        <v>1.2764</v>
      </c>
    </row>
    <row r="10" spans="1:18">
      <c r="A10" s="231">
        <v>1</v>
      </c>
      <c r="B10" s="231"/>
      <c r="C10" s="231"/>
      <c r="D10" s="232" t="s">
        <v>4</v>
      </c>
      <c r="E10" s="233"/>
      <c r="F10" s="233"/>
      <c r="G10" s="234"/>
      <c r="H10" s="235"/>
      <c r="I10" s="290"/>
    </row>
    <row r="11" spans="1:18" s="2" customFormat="1" ht="25.5">
      <c r="A11" s="236" t="s">
        <v>147</v>
      </c>
      <c r="B11" s="236">
        <v>10203</v>
      </c>
      <c r="C11" s="237" t="s">
        <v>37</v>
      </c>
      <c r="D11" s="238" t="s">
        <v>200</v>
      </c>
      <c r="E11" s="239" t="s">
        <v>5</v>
      </c>
      <c r="F11" s="240">
        <v>12.5</v>
      </c>
      <c r="G11" s="241">
        <v>17.93</v>
      </c>
      <c r="H11" s="242">
        <f>ROUNDDOWN(G11/$K$9*$J$9,2)</f>
        <v>17.34</v>
      </c>
      <c r="I11" s="252">
        <f t="shared" ref="I11:I16" si="0">ROUNDDOWN(H11*F11,2)</f>
        <v>216.75</v>
      </c>
      <c r="J11" s="3"/>
      <c r="K11" s="3"/>
      <c r="L11" s="3"/>
      <c r="M11" s="3"/>
      <c r="N11" s="3"/>
      <c r="O11" s="3"/>
      <c r="P11" s="3"/>
      <c r="Q11" s="3"/>
      <c r="R11" s="5"/>
    </row>
    <row r="12" spans="1:18" ht="28.5" customHeight="1">
      <c r="A12" s="236" t="s">
        <v>6</v>
      </c>
      <c r="B12" s="236" t="s">
        <v>203</v>
      </c>
      <c r="C12" s="237" t="s">
        <v>93</v>
      </c>
      <c r="D12" s="238" t="s">
        <v>202</v>
      </c>
      <c r="E12" s="243" t="s">
        <v>7</v>
      </c>
      <c r="F12" s="240">
        <v>6.17</v>
      </c>
      <c r="G12" s="244">
        <v>64.03</v>
      </c>
      <c r="H12" s="245">
        <f>ROUNDDOWN(G12*$J$9,2)</f>
        <v>79.040000000000006</v>
      </c>
      <c r="I12" s="252">
        <f t="shared" si="0"/>
        <v>487.67</v>
      </c>
      <c r="J12" s="6"/>
      <c r="K12" s="6"/>
      <c r="L12" s="6"/>
      <c r="M12" s="6"/>
      <c r="N12" s="6"/>
      <c r="O12" s="6"/>
      <c r="P12" s="6"/>
      <c r="Q12" s="6"/>
      <c r="R12" s="6"/>
    </row>
    <row r="13" spans="1:18">
      <c r="A13" s="236" t="s">
        <v>24</v>
      </c>
      <c r="B13" s="236">
        <v>72231</v>
      </c>
      <c r="C13" s="237" t="s">
        <v>93</v>
      </c>
      <c r="D13" s="249" t="s">
        <v>204</v>
      </c>
      <c r="E13" s="243" t="s">
        <v>5</v>
      </c>
      <c r="F13" s="240">
        <v>449.18</v>
      </c>
      <c r="G13" s="244">
        <v>3.93</v>
      </c>
      <c r="H13" s="245">
        <f>ROUNDDOWN(G13*$J$9,2)</f>
        <v>4.8499999999999996</v>
      </c>
      <c r="I13" s="252">
        <f t="shared" si="0"/>
        <v>2178.52</v>
      </c>
    </row>
    <row r="14" spans="1:18" ht="54" customHeight="1">
      <c r="A14" s="236" t="s">
        <v>97</v>
      </c>
      <c r="B14" s="250" t="s">
        <v>371</v>
      </c>
      <c r="C14" s="237" t="s">
        <v>93</v>
      </c>
      <c r="D14" s="251" t="s">
        <v>370</v>
      </c>
      <c r="E14" s="243" t="s">
        <v>5</v>
      </c>
      <c r="F14" s="240">
        <v>87.98</v>
      </c>
      <c r="G14" s="244">
        <v>3.64</v>
      </c>
      <c r="H14" s="245">
        <f>ROUNDDOWN(G14*$J$9,2)</f>
        <v>4.49</v>
      </c>
      <c r="I14" s="252">
        <f t="shared" si="0"/>
        <v>395.03</v>
      </c>
    </row>
    <row r="15" spans="1:18" ht="40.5" customHeight="1">
      <c r="A15" s="395" t="s">
        <v>81</v>
      </c>
      <c r="B15" s="396" t="s">
        <v>421</v>
      </c>
      <c r="C15" s="344" t="s">
        <v>93</v>
      </c>
      <c r="D15" s="397" t="s">
        <v>422</v>
      </c>
      <c r="E15" s="398" t="s">
        <v>5</v>
      </c>
      <c r="F15" s="399">
        <v>15.88</v>
      </c>
      <c r="G15" s="400">
        <v>38.65</v>
      </c>
      <c r="H15" s="401">
        <f>ROUNDDOWN(G15*$J$9,2)</f>
        <v>47.71</v>
      </c>
      <c r="I15" s="252">
        <f t="shared" si="0"/>
        <v>757.63</v>
      </c>
    </row>
    <row r="16" spans="1:18">
      <c r="A16" s="395" t="s">
        <v>183</v>
      </c>
      <c r="B16" s="396">
        <v>85333</v>
      </c>
      <c r="C16" s="344" t="s">
        <v>93</v>
      </c>
      <c r="D16" s="397" t="s">
        <v>423</v>
      </c>
      <c r="E16" s="398" t="s">
        <v>69</v>
      </c>
      <c r="F16" s="399">
        <v>5</v>
      </c>
      <c r="G16" s="400">
        <v>12.54</v>
      </c>
      <c r="H16" s="401">
        <f>ROUNDDOWN(G16*$J$9,2)</f>
        <v>15.48</v>
      </c>
      <c r="I16" s="252">
        <f t="shared" si="0"/>
        <v>77.400000000000006</v>
      </c>
    </row>
    <row r="17" spans="1:9">
      <c r="A17" s="395" t="s">
        <v>98</v>
      </c>
      <c r="B17" s="343">
        <v>10208</v>
      </c>
      <c r="C17" s="433" t="s">
        <v>37</v>
      </c>
      <c r="D17" s="434" t="s">
        <v>496</v>
      </c>
      <c r="E17" s="435" t="s">
        <v>5</v>
      </c>
      <c r="F17" s="399">
        <v>4</v>
      </c>
      <c r="G17" s="436">
        <v>6.41</v>
      </c>
      <c r="H17" s="437">
        <f>ROUNDDOWN(G17/$K$9*$J$9,2)</f>
        <v>6.19</v>
      </c>
      <c r="I17" s="438">
        <f>ROUNDDOWN(F17*H17,2)</f>
        <v>24.76</v>
      </c>
    </row>
    <row r="18" spans="1:9" ht="25.5">
      <c r="A18" s="395" t="s">
        <v>495</v>
      </c>
      <c r="B18" s="246">
        <v>72142</v>
      </c>
      <c r="C18" s="297" t="s">
        <v>93</v>
      </c>
      <c r="D18" s="247" t="s">
        <v>504</v>
      </c>
      <c r="E18" s="248" t="s">
        <v>69</v>
      </c>
      <c r="F18" s="450">
        <v>7</v>
      </c>
      <c r="G18" s="451">
        <v>7.69</v>
      </c>
      <c r="H18" s="347">
        <f>ROUNDDOWN(G18*$J$9,2)</f>
        <v>9.49</v>
      </c>
      <c r="I18" s="291">
        <f>ROUNDDOWN(H18*F18,2)</f>
        <v>66.430000000000007</v>
      </c>
    </row>
    <row r="19" spans="1:9">
      <c r="A19" s="395" t="s">
        <v>505</v>
      </c>
      <c r="B19" s="246">
        <v>72143</v>
      </c>
      <c r="C19" s="297" t="s">
        <v>93</v>
      </c>
      <c r="D19" s="247" t="s">
        <v>507</v>
      </c>
      <c r="E19" s="248" t="s">
        <v>69</v>
      </c>
      <c r="F19" s="450">
        <v>7</v>
      </c>
      <c r="G19" s="451">
        <v>37.119999999999997</v>
      </c>
      <c r="H19" s="347">
        <f>ROUNDDOWN(G19*$J$9,2)</f>
        <v>45.82</v>
      </c>
      <c r="I19" s="291">
        <f>ROUNDDOWN(H19*F19,2)</f>
        <v>320.74</v>
      </c>
    </row>
    <row r="20" spans="1:9" ht="25.5">
      <c r="A20" s="395" t="s">
        <v>506</v>
      </c>
      <c r="B20" s="246">
        <v>10224</v>
      </c>
      <c r="C20" s="433" t="s">
        <v>37</v>
      </c>
      <c r="D20" s="247" t="s">
        <v>509</v>
      </c>
      <c r="E20" s="435" t="s">
        <v>5</v>
      </c>
      <c r="F20" s="450">
        <v>13.23</v>
      </c>
      <c r="G20" s="451">
        <v>11.27</v>
      </c>
      <c r="H20" s="376">
        <f>ROUNDDOWN(G20/$K$9*$J$9,2)</f>
        <v>10.9</v>
      </c>
      <c r="I20" s="452">
        <f>ROUNDDOWN(F20*H20,2)</f>
        <v>144.19999999999999</v>
      </c>
    </row>
    <row r="21" spans="1:9" ht="39">
      <c r="A21" s="395" t="s">
        <v>508</v>
      </c>
      <c r="B21" s="278">
        <v>72227</v>
      </c>
      <c r="C21" s="237" t="s">
        <v>93</v>
      </c>
      <c r="D21" s="279" t="s">
        <v>678</v>
      </c>
      <c r="E21" s="239" t="s">
        <v>5</v>
      </c>
      <c r="F21" s="684">
        <v>449.18</v>
      </c>
      <c r="G21" s="260">
        <v>5.32</v>
      </c>
      <c r="H21" s="245">
        <f>ROUNDDOWN(G21*$J$9,2)</f>
        <v>6.56</v>
      </c>
      <c r="I21" s="685">
        <f>ROUNDDOWN(F21*H21,2)</f>
        <v>2946.62</v>
      </c>
    </row>
    <row r="22" spans="1:9">
      <c r="A22" s="395" t="s">
        <v>676</v>
      </c>
      <c r="B22" s="278">
        <v>72232</v>
      </c>
      <c r="C22" s="237" t="s">
        <v>93</v>
      </c>
      <c r="D22" s="279" t="s">
        <v>679</v>
      </c>
      <c r="E22" s="239" t="s">
        <v>17</v>
      </c>
      <c r="F22" s="684">
        <v>43.33</v>
      </c>
      <c r="G22" s="260">
        <v>3.37</v>
      </c>
      <c r="H22" s="245">
        <f>ROUNDDOWN(G22*$J$9,2)</f>
        <v>4.16</v>
      </c>
      <c r="I22" s="685">
        <f>ROUNDDOWN(F22*H22,2)</f>
        <v>180.25</v>
      </c>
    </row>
    <row r="23" spans="1:9" ht="29.25" customHeight="1">
      <c r="A23" s="395" t="s">
        <v>677</v>
      </c>
      <c r="B23" s="278">
        <v>72236</v>
      </c>
      <c r="C23" s="237" t="s">
        <v>93</v>
      </c>
      <c r="D23" s="279" t="s">
        <v>704</v>
      </c>
      <c r="E23" s="239" t="s">
        <v>5</v>
      </c>
      <c r="F23" s="684">
        <v>55.9</v>
      </c>
      <c r="G23" s="260">
        <v>8.6999999999999993</v>
      </c>
      <c r="H23" s="245">
        <f>ROUNDDOWN(G23*$J$9,2)</f>
        <v>10.74</v>
      </c>
      <c r="I23" s="685">
        <f t="shared" ref="I23:I24" si="1">ROUNDDOWN(F23*H23,2)</f>
        <v>600.36</v>
      </c>
    </row>
    <row r="24" spans="1:9" ht="29.25" customHeight="1">
      <c r="A24" s="395" t="s">
        <v>702</v>
      </c>
      <c r="B24" s="278">
        <v>72238</v>
      </c>
      <c r="C24" s="237" t="s">
        <v>93</v>
      </c>
      <c r="D24" s="279" t="s">
        <v>705</v>
      </c>
      <c r="E24" s="239" t="s">
        <v>5</v>
      </c>
      <c r="F24" s="684">
        <v>56.67</v>
      </c>
      <c r="G24" s="260">
        <v>5.32</v>
      </c>
      <c r="H24" s="245">
        <f>ROUNDDOWN(G24*$J$9,2)</f>
        <v>6.56</v>
      </c>
      <c r="I24" s="685">
        <f t="shared" si="1"/>
        <v>371.75</v>
      </c>
    </row>
    <row r="25" spans="1:9">
      <c r="A25" s="732" t="s">
        <v>703</v>
      </c>
      <c r="B25" s="733">
        <v>73616</v>
      </c>
      <c r="C25" s="734" t="s">
        <v>93</v>
      </c>
      <c r="D25" s="725" t="s">
        <v>727</v>
      </c>
      <c r="E25" s="733" t="s">
        <v>7</v>
      </c>
      <c r="F25" s="735">
        <v>5.48</v>
      </c>
      <c r="G25" s="736">
        <v>166.47</v>
      </c>
      <c r="H25" s="737">
        <f>ROUNDDOWN(G25*$J$9,2)</f>
        <v>205.5</v>
      </c>
      <c r="I25" s="738">
        <f>ROUNDDOWN(F25*H25,2)</f>
        <v>1126.1400000000001</v>
      </c>
    </row>
    <row r="26" spans="1:9">
      <c r="A26" s="821" t="s">
        <v>8</v>
      </c>
      <c r="B26" s="821"/>
      <c r="C26" s="821"/>
      <c r="D26" s="821"/>
      <c r="E26" s="821"/>
      <c r="F26" s="821"/>
      <c r="G26" s="821"/>
      <c r="H26" s="287"/>
      <c r="I26" s="253">
        <f>ROUNDDOWN(I11+I12+I13+I14+I15+I16+I17+I18+I19+I20+I21+I22+I23+I24+I25,2)</f>
        <v>9894.25</v>
      </c>
    </row>
    <row r="27" spans="1:9">
      <c r="A27" s="237">
        <v>2</v>
      </c>
      <c r="B27" s="287"/>
      <c r="C27" s="287"/>
      <c r="D27" s="254" t="s">
        <v>65</v>
      </c>
      <c r="E27" s="287"/>
      <c r="F27" s="287"/>
      <c r="G27" s="287"/>
      <c r="H27" s="287"/>
      <c r="I27" s="253"/>
    </row>
    <row r="28" spans="1:9" ht="42" customHeight="1">
      <c r="A28" s="236" t="s">
        <v>99</v>
      </c>
      <c r="B28" s="243" t="s">
        <v>205</v>
      </c>
      <c r="C28" s="237" t="s">
        <v>93</v>
      </c>
      <c r="D28" s="251" t="s">
        <v>208</v>
      </c>
      <c r="E28" s="243" t="s">
        <v>5</v>
      </c>
      <c r="F28" s="241">
        <v>45.91</v>
      </c>
      <c r="G28" s="241">
        <v>49.54</v>
      </c>
      <c r="H28" s="245">
        <f>ROUNDDOWN(G28*$J$9,2)</f>
        <v>61.15</v>
      </c>
      <c r="I28" s="252">
        <f>ROUNDDOWN(H28*F28,2)</f>
        <v>2807.39</v>
      </c>
    </row>
    <row r="29" spans="1:9" ht="27.75" customHeight="1">
      <c r="A29" s="236" t="s">
        <v>100</v>
      </c>
      <c r="B29" s="255" t="s">
        <v>206</v>
      </c>
      <c r="C29" s="237" t="s">
        <v>93</v>
      </c>
      <c r="D29" s="249" t="s">
        <v>209</v>
      </c>
      <c r="E29" s="243" t="s">
        <v>5</v>
      </c>
      <c r="F29" s="245">
        <v>8</v>
      </c>
      <c r="G29" s="241">
        <v>253.15</v>
      </c>
      <c r="H29" s="245">
        <f>ROUNDDOWN(G29*$J$9,2)</f>
        <v>312.51</v>
      </c>
      <c r="I29" s="252">
        <f>ROUNDDOWN(H29*F29,2)</f>
        <v>2500.08</v>
      </c>
    </row>
    <row r="30" spans="1:9" ht="67.5" customHeight="1">
      <c r="A30" s="236" t="s">
        <v>82</v>
      </c>
      <c r="B30" s="255" t="s">
        <v>207</v>
      </c>
      <c r="C30" s="237" t="s">
        <v>93</v>
      </c>
      <c r="D30" s="249" t="s">
        <v>210</v>
      </c>
      <c r="E30" s="243" t="s">
        <v>5</v>
      </c>
      <c r="F30" s="245">
        <v>10</v>
      </c>
      <c r="G30" s="241">
        <v>378.69</v>
      </c>
      <c r="H30" s="245">
        <f>ROUNDDOWN(G30*$J$9,2)</f>
        <v>467.49</v>
      </c>
      <c r="I30" s="252">
        <f>ROUNDDOWN(H30*F30,2)</f>
        <v>4674.8999999999996</v>
      </c>
    </row>
    <row r="31" spans="1:9">
      <c r="A31" s="821" t="s">
        <v>8</v>
      </c>
      <c r="B31" s="821"/>
      <c r="C31" s="821"/>
      <c r="D31" s="821"/>
      <c r="E31" s="821"/>
      <c r="F31" s="821"/>
      <c r="G31" s="821"/>
      <c r="H31" s="287"/>
      <c r="I31" s="253">
        <f>ROUNDDOWN(I28+I29+I30,2)</f>
        <v>9982.3700000000008</v>
      </c>
    </row>
    <row r="32" spans="1:9">
      <c r="A32" s="297">
        <v>3</v>
      </c>
      <c r="B32" s="297"/>
      <c r="C32" s="297"/>
      <c r="D32" s="256" t="s">
        <v>9</v>
      </c>
      <c r="E32" s="239"/>
      <c r="F32" s="238"/>
      <c r="G32" s="257"/>
      <c r="H32" s="258"/>
      <c r="I32" s="292"/>
    </row>
    <row r="33" spans="1:9" ht="27.75" customHeight="1">
      <c r="A33" s="236" t="s">
        <v>87</v>
      </c>
      <c r="B33" s="236">
        <v>73447</v>
      </c>
      <c r="C33" s="237" t="s">
        <v>93</v>
      </c>
      <c r="D33" s="238" t="s">
        <v>212</v>
      </c>
      <c r="E33" s="243" t="s">
        <v>7</v>
      </c>
      <c r="F33" s="245">
        <v>18.37</v>
      </c>
      <c r="G33" s="259">
        <v>38.81</v>
      </c>
      <c r="H33" s="245">
        <f>ROUNDDOWN(G33*$J$9,2)</f>
        <v>47.91</v>
      </c>
      <c r="I33" s="252">
        <f>ROUNDDOWN(H33*F33,2)</f>
        <v>880.1</v>
      </c>
    </row>
    <row r="34" spans="1:9" ht="90">
      <c r="A34" s="236" t="s">
        <v>88</v>
      </c>
      <c r="B34" s="236">
        <v>5719</v>
      </c>
      <c r="C34" s="237" t="s">
        <v>93</v>
      </c>
      <c r="D34" s="249" t="s">
        <v>213</v>
      </c>
      <c r="E34" s="243" t="s">
        <v>7</v>
      </c>
      <c r="F34" s="240">
        <v>15.25</v>
      </c>
      <c r="G34" s="260">
        <v>46.75</v>
      </c>
      <c r="H34" s="245">
        <f>ROUNDDOWN(G34*$J$9,2)</f>
        <v>57.71</v>
      </c>
      <c r="I34" s="252">
        <f>ROUNDDOWN(H34*F34,2)</f>
        <v>880.07</v>
      </c>
    </row>
    <row r="35" spans="1:9">
      <c r="A35" s="801" t="s">
        <v>8</v>
      </c>
      <c r="B35" s="802"/>
      <c r="C35" s="802"/>
      <c r="D35" s="802"/>
      <c r="E35" s="802"/>
      <c r="F35" s="802"/>
      <c r="G35" s="803"/>
      <c r="H35" s="286"/>
      <c r="I35" s="253">
        <f>ROUNDDOWN(I33+I34,2)</f>
        <v>1760.17</v>
      </c>
    </row>
    <row r="36" spans="1:9">
      <c r="A36" s="297">
        <v>4</v>
      </c>
      <c r="B36" s="297"/>
      <c r="C36" s="297"/>
      <c r="D36" s="256" t="s">
        <v>66</v>
      </c>
      <c r="E36" s="239"/>
      <c r="F36" s="238"/>
      <c r="G36" s="257"/>
      <c r="H36" s="258"/>
      <c r="I36" s="293"/>
    </row>
    <row r="37" spans="1:9">
      <c r="A37" s="237" t="s">
        <v>95</v>
      </c>
      <c r="B37" s="237"/>
      <c r="C37" s="237"/>
      <c r="D37" s="256" t="s">
        <v>96</v>
      </c>
      <c r="E37" s="239"/>
      <c r="F37" s="238"/>
      <c r="G37" s="257"/>
      <c r="H37" s="258"/>
      <c r="I37" s="293"/>
    </row>
    <row r="38" spans="1:9" ht="25.5">
      <c r="A38" s="236" t="s">
        <v>89</v>
      </c>
      <c r="B38" s="246">
        <v>5651</v>
      </c>
      <c r="C38" s="237" t="s">
        <v>93</v>
      </c>
      <c r="D38" s="238" t="s">
        <v>221</v>
      </c>
      <c r="E38" s="243" t="s">
        <v>5</v>
      </c>
      <c r="F38" s="245">
        <v>49.29</v>
      </c>
      <c r="G38" s="260">
        <v>36.18</v>
      </c>
      <c r="H38" s="245">
        <f>ROUNDDOWN(G38*$J$9,2)</f>
        <v>44.66</v>
      </c>
      <c r="I38" s="252">
        <f>ROUNDDOWN(H38*F38,2)</f>
        <v>2201.29</v>
      </c>
    </row>
    <row r="39" spans="1:9" ht="38.25">
      <c r="A39" s="236" t="s">
        <v>90</v>
      </c>
      <c r="B39" s="246">
        <v>6042</v>
      </c>
      <c r="C39" s="237" t="s">
        <v>93</v>
      </c>
      <c r="D39" s="238" t="s">
        <v>220</v>
      </c>
      <c r="E39" s="243" t="s">
        <v>7</v>
      </c>
      <c r="F39" s="240">
        <v>0.51</v>
      </c>
      <c r="G39" s="260">
        <v>251.3</v>
      </c>
      <c r="H39" s="245">
        <f>ROUNDDOWN(G39*$J$9,2)</f>
        <v>310.22000000000003</v>
      </c>
      <c r="I39" s="252">
        <f>ROUNDDOWN(H39*F39,2)</f>
        <v>158.21</v>
      </c>
    </row>
    <row r="40" spans="1:9" ht="38.25">
      <c r="A40" s="236" t="s">
        <v>91</v>
      </c>
      <c r="B40" s="246" t="s">
        <v>214</v>
      </c>
      <c r="C40" s="237" t="s">
        <v>93</v>
      </c>
      <c r="D40" s="238" t="s">
        <v>219</v>
      </c>
      <c r="E40" s="243" t="s">
        <v>7</v>
      </c>
      <c r="F40" s="240">
        <v>3.12</v>
      </c>
      <c r="G40" s="260">
        <v>330.75</v>
      </c>
      <c r="H40" s="245">
        <f>ROUNDDOWN(G40*$J$9,2)</f>
        <v>408.31</v>
      </c>
      <c r="I40" s="252">
        <f>ROUNDDOWN(H40*F40,2)</f>
        <v>1273.92</v>
      </c>
    </row>
    <row r="41" spans="1:9" ht="43.5" customHeight="1">
      <c r="A41" s="236" t="s">
        <v>92</v>
      </c>
      <c r="B41" s="246" t="s">
        <v>215</v>
      </c>
      <c r="C41" s="237" t="s">
        <v>93</v>
      </c>
      <c r="D41" s="238" t="s">
        <v>372</v>
      </c>
      <c r="E41" s="243" t="s">
        <v>10</v>
      </c>
      <c r="F41" s="240">
        <v>144.54</v>
      </c>
      <c r="G41" s="260">
        <v>7.5</v>
      </c>
      <c r="H41" s="245">
        <f>ROUNDDOWN(G41*$J$9,2)</f>
        <v>9.25</v>
      </c>
      <c r="I41" s="252">
        <f>ROUNDDOWN(H41*F41,2)</f>
        <v>1336.99</v>
      </c>
    </row>
    <row r="42" spans="1:9" ht="51">
      <c r="A42" s="236" t="s">
        <v>94</v>
      </c>
      <c r="B42" s="246" t="s">
        <v>216</v>
      </c>
      <c r="C42" s="237" t="s">
        <v>93</v>
      </c>
      <c r="D42" s="238" t="s">
        <v>218</v>
      </c>
      <c r="E42" s="243" t="s">
        <v>5</v>
      </c>
      <c r="F42" s="240">
        <v>36.090000000000003</v>
      </c>
      <c r="G42" s="260">
        <v>7.23</v>
      </c>
      <c r="H42" s="245">
        <f>ROUNDDOWN(G42*$J$9,2)</f>
        <v>8.92</v>
      </c>
      <c r="I42" s="252">
        <f>ROUNDDOWN(H42*F42,2)</f>
        <v>321.92</v>
      </c>
    </row>
    <row r="43" spans="1:9">
      <c r="A43" s="821" t="s">
        <v>8</v>
      </c>
      <c r="B43" s="821"/>
      <c r="C43" s="821"/>
      <c r="D43" s="821"/>
      <c r="E43" s="821"/>
      <c r="F43" s="821"/>
      <c r="G43" s="821"/>
      <c r="H43" s="261"/>
      <c r="I43" s="253">
        <f>ROUNDDOWN(I38+I39+I40+I41+I42,2)</f>
        <v>5292.33</v>
      </c>
    </row>
    <row r="44" spans="1:9">
      <c r="A44" s="297" t="s">
        <v>83</v>
      </c>
      <c r="B44" s="297"/>
      <c r="C44" s="297"/>
      <c r="D44" s="256" t="s">
        <v>101</v>
      </c>
      <c r="E44" s="286"/>
      <c r="F44" s="240"/>
      <c r="G44" s="260"/>
      <c r="H44" s="261"/>
      <c r="I44" s="252"/>
    </row>
    <row r="45" spans="1:9" ht="38.25">
      <c r="A45" s="236" t="s">
        <v>102</v>
      </c>
      <c r="B45" s="246" t="s">
        <v>214</v>
      </c>
      <c r="C45" s="237" t="s">
        <v>93</v>
      </c>
      <c r="D45" s="238" t="s">
        <v>219</v>
      </c>
      <c r="E45" s="243" t="s">
        <v>7</v>
      </c>
      <c r="F45" s="240">
        <v>2.87</v>
      </c>
      <c r="G45" s="260">
        <v>330.75</v>
      </c>
      <c r="H45" s="245">
        <f>ROUNDDOWN(G45*$J$9,2)</f>
        <v>408.31</v>
      </c>
      <c r="I45" s="252">
        <f>ROUNDDOWN(H45*F45,2)</f>
        <v>1171.8399999999999</v>
      </c>
    </row>
    <row r="46" spans="1:9" ht="51">
      <c r="A46" s="236" t="s">
        <v>103</v>
      </c>
      <c r="B46" s="246" t="s">
        <v>215</v>
      </c>
      <c r="C46" s="237" t="s">
        <v>93</v>
      </c>
      <c r="D46" s="238" t="s">
        <v>217</v>
      </c>
      <c r="E46" s="243" t="s">
        <v>10</v>
      </c>
      <c r="F46" s="240">
        <v>151.16999999999999</v>
      </c>
      <c r="G46" s="260">
        <v>7.5</v>
      </c>
      <c r="H46" s="245">
        <f>ROUNDDOWN(G46*$J$9,2)</f>
        <v>9.25</v>
      </c>
      <c r="I46" s="252">
        <f>ROUNDDOWN(H46*F46,2)</f>
        <v>1398.32</v>
      </c>
    </row>
    <row r="47" spans="1:9" ht="51">
      <c r="A47" s="236" t="s">
        <v>104</v>
      </c>
      <c r="B47" s="246" t="s">
        <v>216</v>
      </c>
      <c r="C47" s="237" t="s">
        <v>93</v>
      </c>
      <c r="D47" s="238" t="s">
        <v>218</v>
      </c>
      <c r="E47" s="243" t="s">
        <v>10</v>
      </c>
      <c r="F47" s="240">
        <v>55.62</v>
      </c>
      <c r="G47" s="260">
        <v>7.23</v>
      </c>
      <c r="H47" s="245">
        <f>ROUNDDOWN(G47*$J$9,2)</f>
        <v>8.92</v>
      </c>
      <c r="I47" s="252">
        <f>ROUNDDOWN(H47*F47,2)</f>
        <v>496.13</v>
      </c>
    </row>
    <row r="48" spans="1:9" ht="80.25" customHeight="1">
      <c r="A48" s="236" t="s">
        <v>105</v>
      </c>
      <c r="B48" s="294">
        <v>84216</v>
      </c>
      <c r="C48" s="237" t="s">
        <v>93</v>
      </c>
      <c r="D48" s="238" t="s">
        <v>222</v>
      </c>
      <c r="E48" s="243" t="s">
        <v>5</v>
      </c>
      <c r="F48" s="240">
        <v>66.09</v>
      </c>
      <c r="G48" s="260">
        <v>34.090000000000003</v>
      </c>
      <c r="H48" s="245">
        <f>ROUNDDOWN(G48*$J$9,2)</f>
        <v>42.08</v>
      </c>
      <c r="I48" s="252">
        <f>ROUNDDOWN(H48*F48,2)</f>
        <v>2781.06</v>
      </c>
    </row>
    <row r="49" spans="1:17" ht="66" customHeight="1">
      <c r="A49" s="236" t="s">
        <v>672</v>
      </c>
      <c r="B49" s="278" t="s">
        <v>669</v>
      </c>
      <c r="C49" s="237" t="s">
        <v>93</v>
      </c>
      <c r="D49" s="651" t="s">
        <v>673</v>
      </c>
      <c r="E49" s="243" t="s">
        <v>5</v>
      </c>
      <c r="F49" s="240">
        <v>20.78</v>
      </c>
      <c r="G49" s="260">
        <v>68.709999999999994</v>
      </c>
      <c r="H49" s="245">
        <f>ROUNDDOWN(G49*$J$9,2)</f>
        <v>84.82</v>
      </c>
      <c r="I49" s="252">
        <f>ROUNDDOWN(H49*F49,2)</f>
        <v>1762.55</v>
      </c>
    </row>
    <row r="50" spans="1:17">
      <c r="A50" s="801" t="s">
        <v>8</v>
      </c>
      <c r="B50" s="802"/>
      <c r="C50" s="802"/>
      <c r="D50" s="802"/>
      <c r="E50" s="802"/>
      <c r="F50" s="802"/>
      <c r="G50" s="803"/>
      <c r="H50" s="286"/>
      <c r="I50" s="253">
        <f>ROUNDDOWN(I45+I46+I47+I48+I49,2)</f>
        <v>7609.9</v>
      </c>
      <c r="J50" s="756">
        <f>I43+I50</f>
        <v>12902.23</v>
      </c>
    </row>
    <row r="51" spans="1:17">
      <c r="A51" s="237">
        <v>5</v>
      </c>
      <c r="B51" s="236"/>
      <c r="C51" s="237"/>
      <c r="D51" s="262" t="s">
        <v>67</v>
      </c>
      <c r="E51" s="262"/>
      <c r="F51" s="262"/>
      <c r="G51" s="263"/>
      <c r="H51" s="264"/>
      <c r="I51" s="295"/>
    </row>
    <row r="52" spans="1:17" s="2" customFormat="1" ht="53.25" customHeight="1">
      <c r="A52" s="236" t="s">
        <v>84</v>
      </c>
      <c r="B52" s="255" t="s">
        <v>223</v>
      </c>
      <c r="C52" s="237" t="s">
        <v>93</v>
      </c>
      <c r="D52" s="249" t="s">
        <v>224</v>
      </c>
      <c r="E52" s="250" t="s">
        <v>17</v>
      </c>
      <c r="F52" s="245">
        <v>125.5</v>
      </c>
      <c r="G52" s="244">
        <v>15.59</v>
      </c>
      <c r="H52" s="245">
        <f>ROUNDDOWN(G52*$J$9,2)</f>
        <v>19.239999999999998</v>
      </c>
      <c r="I52" s="252">
        <f>ROUNDDOWN(F52*H52,2)</f>
        <v>2414.62</v>
      </c>
      <c r="J52" s="3"/>
      <c r="K52" s="3"/>
      <c r="L52" s="3"/>
      <c r="M52" s="3"/>
      <c r="N52" s="3"/>
      <c r="O52" s="3"/>
      <c r="P52" s="3"/>
      <c r="Q52" s="3"/>
    </row>
    <row r="53" spans="1:17" s="2" customFormat="1" ht="89.25">
      <c r="A53" s="236" t="s">
        <v>194</v>
      </c>
      <c r="B53" s="255">
        <v>87490</v>
      </c>
      <c r="C53" s="237" t="s">
        <v>93</v>
      </c>
      <c r="D53" s="249" t="s">
        <v>592</v>
      </c>
      <c r="E53" s="243" t="s">
        <v>5</v>
      </c>
      <c r="F53" s="245">
        <v>214.3</v>
      </c>
      <c r="G53" s="244">
        <v>35.340000000000003</v>
      </c>
      <c r="H53" s="245">
        <f>ROUNDDOWN(G53*$J$9,2)</f>
        <v>43.62</v>
      </c>
      <c r="I53" s="252">
        <f>ROUNDDOWN(F53*H53,2)</f>
        <v>9347.76</v>
      </c>
      <c r="J53" s="3"/>
      <c r="K53" s="3"/>
      <c r="L53" s="3"/>
      <c r="M53" s="3"/>
      <c r="N53" s="3"/>
      <c r="O53" s="3"/>
      <c r="P53" s="3"/>
      <c r="Q53" s="3"/>
    </row>
    <row r="54" spans="1:17" s="2" customFormat="1" ht="66" customHeight="1">
      <c r="A54" s="236" t="s">
        <v>479</v>
      </c>
      <c r="B54" s="255">
        <v>79627</v>
      </c>
      <c r="C54" s="237" t="s">
        <v>93</v>
      </c>
      <c r="D54" s="249" t="s">
        <v>480</v>
      </c>
      <c r="E54" s="243" t="s">
        <v>5</v>
      </c>
      <c r="F54" s="245">
        <v>5.88</v>
      </c>
      <c r="G54" s="244">
        <v>381.91</v>
      </c>
      <c r="H54" s="245">
        <f>ROUNDDOWN(G54*$J$9,2)</f>
        <v>471.46</v>
      </c>
      <c r="I54" s="252">
        <f>ROUNDDOWN(F54*H54,2)</f>
        <v>2772.18</v>
      </c>
      <c r="J54" s="3"/>
      <c r="K54" s="3"/>
      <c r="L54" s="3"/>
      <c r="M54" s="3"/>
      <c r="N54" s="3"/>
      <c r="O54" s="3"/>
      <c r="P54" s="3"/>
      <c r="Q54" s="3"/>
    </row>
    <row r="55" spans="1:17">
      <c r="A55" s="801" t="s">
        <v>8</v>
      </c>
      <c r="B55" s="802"/>
      <c r="C55" s="802"/>
      <c r="D55" s="802"/>
      <c r="E55" s="802"/>
      <c r="F55" s="802"/>
      <c r="G55" s="803"/>
      <c r="H55" s="286"/>
      <c r="I55" s="253">
        <f>ROUNDDOWN(I52+I53+I54,2)</f>
        <v>14534.56</v>
      </c>
    </row>
    <row r="56" spans="1:17">
      <c r="A56" s="237">
        <v>6</v>
      </c>
      <c r="B56" s="236"/>
      <c r="C56" s="237"/>
      <c r="D56" s="262" t="s">
        <v>68</v>
      </c>
      <c r="E56" s="243"/>
      <c r="F56" s="243"/>
      <c r="G56" s="244"/>
      <c r="H56" s="265"/>
      <c r="I56" s="252"/>
    </row>
    <row r="57" spans="1:17" ht="39.75" customHeight="1">
      <c r="A57" s="236" t="s">
        <v>390</v>
      </c>
      <c r="B57" s="255" t="s">
        <v>403</v>
      </c>
      <c r="C57" s="237" t="s">
        <v>93</v>
      </c>
      <c r="D57" s="266" t="s">
        <v>404</v>
      </c>
      <c r="E57" s="250" t="s">
        <v>69</v>
      </c>
      <c r="F57" s="245">
        <v>1</v>
      </c>
      <c r="G57" s="244">
        <v>316.11</v>
      </c>
      <c r="H57" s="245">
        <f t="shared" ref="H57:H60" si="2">ROUNDDOWN(G57*$J$9,2)</f>
        <v>390.23</v>
      </c>
      <c r="I57" s="252">
        <f t="shared" ref="I57:I60" si="3">ROUNDDOWN(F57*H57,2)</f>
        <v>390.23</v>
      </c>
    </row>
    <row r="58" spans="1:17" ht="42.75" customHeight="1">
      <c r="A58" s="236" t="s">
        <v>195</v>
      </c>
      <c r="B58" s="255" t="s">
        <v>424</v>
      </c>
      <c r="C58" s="237" t="s">
        <v>93</v>
      </c>
      <c r="D58" s="266" t="s">
        <v>425</v>
      </c>
      <c r="E58" s="250" t="s">
        <v>69</v>
      </c>
      <c r="F58" s="245">
        <v>5</v>
      </c>
      <c r="G58" s="244">
        <v>303.11</v>
      </c>
      <c r="H58" s="245">
        <f t="shared" si="2"/>
        <v>374.18</v>
      </c>
      <c r="I58" s="252">
        <f t="shared" si="3"/>
        <v>1870.9</v>
      </c>
    </row>
    <row r="59" spans="1:17" ht="40.5" customHeight="1">
      <c r="A59" s="236" t="s">
        <v>391</v>
      </c>
      <c r="B59" s="255" t="s">
        <v>406</v>
      </c>
      <c r="C59" s="237" t="s">
        <v>93</v>
      </c>
      <c r="D59" s="249" t="s">
        <v>407</v>
      </c>
      <c r="E59" s="250" t="s">
        <v>69</v>
      </c>
      <c r="F59" s="245">
        <v>3</v>
      </c>
      <c r="G59" s="244">
        <v>63.28</v>
      </c>
      <c r="H59" s="245">
        <f t="shared" si="2"/>
        <v>78.11</v>
      </c>
      <c r="I59" s="252">
        <f t="shared" si="3"/>
        <v>234.33</v>
      </c>
    </row>
    <row r="60" spans="1:17" ht="40.5" customHeight="1">
      <c r="A60" s="236" t="s">
        <v>405</v>
      </c>
      <c r="B60" s="255" t="s">
        <v>408</v>
      </c>
      <c r="C60" s="237" t="s">
        <v>93</v>
      </c>
      <c r="D60" s="249" t="s">
        <v>409</v>
      </c>
      <c r="E60" s="250" t="s">
        <v>69</v>
      </c>
      <c r="F60" s="245">
        <v>3</v>
      </c>
      <c r="G60" s="244">
        <v>71.52</v>
      </c>
      <c r="H60" s="245">
        <f t="shared" si="2"/>
        <v>88.29</v>
      </c>
      <c r="I60" s="252">
        <f t="shared" si="3"/>
        <v>264.87</v>
      </c>
    </row>
    <row r="61" spans="1:17">
      <c r="A61" s="801" t="s">
        <v>8</v>
      </c>
      <c r="B61" s="802"/>
      <c r="C61" s="802"/>
      <c r="D61" s="802"/>
      <c r="E61" s="802"/>
      <c r="F61" s="802"/>
      <c r="G61" s="803"/>
      <c r="H61" s="286"/>
      <c r="I61" s="253">
        <f>ROUNDDOWN(I57+I58+I59+I60,2)</f>
        <v>2760.33</v>
      </c>
    </row>
    <row r="62" spans="1:17">
      <c r="A62" s="237">
        <v>7</v>
      </c>
      <c r="B62" s="236"/>
      <c r="C62" s="237"/>
      <c r="D62" s="254" t="s">
        <v>70</v>
      </c>
      <c r="E62" s="243"/>
      <c r="F62" s="243"/>
      <c r="G62" s="244"/>
      <c r="H62" s="265"/>
      <c r="I62" s="252"/>
    </row>
    <row r="63" spans="1:17" ht="53.25" customHeight="1">
      <c r="A63" s="236" t="s">
        <v>106</v>
      </c>
      <c r="B63" s="255" t="s">
        <v>225</v>
      </c>
      <c r="C63" s="237" t="s">
        <v>93</v>
      </c>
      <c r="D63" s="249" t="s">
        <v>226</v>
      </c>
      <c r="E63" s="243" t="s">
        <v>5</v>
      </c>
      <c r="F63" s="245">
        <v>49.72</v>
      </c>
      <c r="G63" s="244">
        <v>344.84</v>
      </c>
      <c r="H63" s="245">
        <f>ROUNDDOWN(G63*$J$9,2)</f>
        <v>425.7</v>
      </c>
      <c r="I63" s="252">
        <f>ROUNDDOWN(F63*H63,2)</f>
        <v>21165.8</v>
      </c>
    </row>
    <row r="64" spans="1:17">
      <c r="A64" s="236" t="s">
        <v>458</v>
      </c>
      <c r="B64" s="255">
        <v>68052</v>
      </c>
      <c r="C64" s="237" t="s">
        <v>93</v>
      </c>
      <c r="D64" s="249" t="s">
        <v>460</v>
      </c>
      <c r="E64" s="243" t="s">
        <v>5</v>
      </c>
      <c r="F64" s="245">
        <v>0.42</v>
      </c>
      <c r="G64" s="244">
        <v>336.38</v>
      </c>
      <c r="H64" s="245">
        <f>ROUNDDOWN(G64*$J$9,2)</f>
        <v>415.26</v>
      </c>
      <c r="I64" s="252">
        <f>ROUNDDOWN(F64*H64,2)</f>
        <v>174.4</v>
      </c>
    </row>
    <row r="65" spans="1:9" ht="51.75">
      <c r="A65" s="236" t="s">
        <v>459</v>
      </c>
      <c r="B65" s="255">
        <v>71701</v>
      </c>
      <c r="C65" s="237" t="s">
        <v>37</v>
      </c>
      <c r="D65" s="249" t="s">
        <v>461</v>
      </c>
      <c r="E65" s="243" t="s">
        <v>5</v>
      </c>
      <c r="F65" s="245">
        <v>1.5</v>
      </c>
      <c r="G65" s="244">
        <v>291.02</v>
      </c>
      <c r="H65" s="242">
        <f>ROUNDDOWN(G65/$K$9*$J$9,2)</f>
        <v>281.45999999999998</v>
      </c>
      <c r="I65" s="252">
        <f>ROUNDDOWN(F65*H65,2)</f>
        <v>422.19</v>
      </c>
    </row>
    <row r="66" spans="1:9" ht="29.25" customHeight="1">
      <c r="A66" s="236" t="s">
        <v>462</v>
      </c>
      <c r="B66" s="255">
        <v>72116</v>
      </c>
      <c r="C66" s="237" t="s">
        <v>93</v>
      </c>
      <c r="D66" s="249" t="s">
        <v>463</v>
      </c>
      <c r="E66" s="243" t="s">
        <v>5</v>
      </c>
      <c r="F66" s="245">
        <v>1.92</v>
      </c>
      <c r="G66" s="244">
        <v>71.52</v>
      </c>
      <c r="H66" s="245">
        <f>ROUNDDOWN(G66*$J$9,2)</f>
        <v>88.29</v>
      </c>
      <c r="I66" s="252">
        <f>ROUNDDOWN(F66*H66,2)</f>
        <v>169.51</v>
      </c>
    </row>
    <row r="67" spans="1:9">
      <c r="A67" s="801" t="s">
        <v>8</v>
      </c>
      <c r="B67" s="802"/>
      <c r="C67" s="802"/>
      <c r="D67" s="802"/>
      <c r="E67" s="802"/>
      <c r="F67" s="802"/>
      <c r="G67" s="803"/>
      <c r="H67" s="286"/>
      <c r="I67" s="253">
        <f>ROUNDDOWN(I63+I64+I65+I66,2)</f>
        <v>21931.9</v>
      </c>
    </row>
    <row r="68" spans="1:9">
      <c r="A68" s="237">
        <v>8</v>
      </c>
      <c r="B68" s="236"/>
      <c r="C68" s="237"/>
      <c r="D68" s="262" t="s">
        <v>71</v>
      </c>
      <c r="E68" s="262"/>
      <c r="F68" s="262"/>
      <c r="G68" s="263"/>
      <c r="H68" s="264"/>
      <c r="I68" s="295"/>
    </row>
    <row r="69" spans="1:9" ht="42" customHeight="1">
      <c r="A69" s="246" t="s">
        <v>85</v>
      </c>
      <c r="B69" s="246" t="s">
        <v>791</v>
      </c>
      <c r="C69" s="297" t="s">
        <v>93</v>
      </c>
      <c r="D69" s="247" t="s">
        <v>790</v>
      </c>
      <c r="E69" s="248" t="s">
        <v>5</v>
      </c>
      <c r="F69" s="247">
        <v>363.29</v>
      </c>
      <c r="G69" s="350">
        <v>92.59</v>
      </c>
      <c r="H69" s="347">
        <f>ROUNDDOWN(G69*$J$9,2)</f>
        <v>114.3</v>
      </c>
      <c r="I69" s="291">
        <f>ROUNDDOWN(H69*F69,2)</f>
        <v>41524.04</v>
      </c>
    </row>
    <row r="70" spans="1:9" ht="44.25" customHeight="1">
      <c r="A70" s="246" t="s">
        <v>235</v>
      </c>
      <c r="B70" s="255" t="s">
        <v>789</v>
      </c>
      <c r="C70" s="237" t="s">
        <v>93</v>
      </c>
      <c r="D70" s="249" t="s">
        <v>788</v>
      </c>
      <c r="E70" s="243" t="s">
        <v>5</v>
      </c>
      <c r="F70" s="245">
        <v>555.95000000000005</v>
      </c>
      <c r="G70" s="244">
        <v>64.260000000000005</v>
      </c>
      <c r="H70" s="245">
        <f>ROUNDDOWN(G70*$J$9,2)</f>
        <v>79.319999999999993</v>
      </c>
      <c r="I70" s="252">
        <f>ROUNDDOWN(H70*F70,2)</f>
        <v>44097.95</v>
      </c>
    </row>
    <row r="71" spans="1:9" ht="28.5" customHeight="1">
      <c r="A71" s="246" t="s">
        <v>236</v>
      </c>
      <c r="B71" s="255">
        <v>72107</v>
      </c>
      <c r="C71" s="237" t="s">
        <v>93</v>
      </c>
      <c r="D71" s="249" t="s">
        <v>375</v>
      </c>
      <c r="E71" s="243" t="s">
        <v>17</v>
      </c>
      <c r="F71" s="245">
        <v>79.680000000000007</v>
      </c>
      <c r="G71" s="244">
        <v>19.920000000000002</v>
      </c>
      <c r="H71" s="245">
        <f>ROUNDDOWN(G71*$J$9,2)</f>
        <v>24.59</v>
      </c>
      <c r="I71" s="252">
        <f>ROUNDDOWN(H71*F71,2)</f>
        <v>1959.33</v>
      </c>
    </row>
    <row r="72" spans="1:9" ht="54" customHeight="1">
      <c r="A72" s="246" t="s">
        <v>691</v>
      </c>
      <c r="B72" s="255">
        <v>72081</v>
      </c>
      <c r="C72" s="237" t="s">
        <v>93</v>
      </c>
      <c r="D72" s="249" t="s">
        <v>693</v>
      </c>
      <c r="E72" s="243" t="s">
        <v>5</v>
      </c>
      <c r="F72" s="245">
        <v>53.59</v>
      </c>
      <c r="G72" s="244">
        <v>74.819999999999993</v>
      </c>
      <c r="H72" s="245">
        <f t="shared" ref="H72:H74" si="4">ROUNDDOWN(G72*$J$9,2)</f>
        <v>92.36</v>
      </c>
      <c r="I72" s="252">
        <f t="shared" ref="I72:I74" si="5">ROUNDDOWN(H72*F72,2)</f>
        <v>4949.57</v>
      </c>
    </row>
    <row r="73" spans="1:9" ht="54" customHeight="1">
      <c r="A73" s="246" t="s">
        <v>692</v>
      </c>
      <c r="B73" s="255">
        <v>72084</v>
      </c>
      <c r="C73" s="237" t="s">
        <v>93</v>
      </c>
      <c r="D73" s="249" t="s">
        <v>694</v>
      </c>
      <c r="E73" s="243" t="s">
        <v>5</v>
      </c>
      <c r="F73" s="245">
        <v>139.07</v>
      </c>
      <c r="G73" s="244">
        <v>115.9</v>
      </c>
      <c r="H73" s="245">
        <f t="shared" si="4"/>
        <v>143.07</v>
      </c>
      <c r="I73" s="252">
        <f t="shared" si="5"/>
        <v>19896.740000000002</v>
      </c>
    </row>
    <row r="74" spans="1:9" ht="54.75" customHeight="1">
      <c r="A74" s="246" t="s">
        <v>711</v>
      </c>
      <c r="B74" s="255" t="s">
        <v>712</v>
      </c>
      <c r="C74" s="237" t="s">
        <v>93</v>
      </c>
      <c r="D74" s="249" t="s">
        <v>713</v>
      </c>
      <c r="E74" s="243" t="s">
        <v>17</v>
      </c>
      <c r="F74" s="245">
        <v>43.33</v>
      </c>
      <c r="G74" s="244">
        <v>46.92</v>
      </c>
      <c r="H74" s="245">
        <f t="shared" si="4"/>
        <v>57.92</v>
      </c>
      <c r="I74" s="252">
        <f t="shared" si="5"/>
        <v>2509.67</v>
      </c>
    </row>
    <row r="75" spans="1:9">
      <c r="A75" s="801" t="s">
        <v>8</v>
      </c>
      <c r="B75" s="802"/>
      <c r="C75" s="802"/>
      <c r="D75" s="802"/>
      <c r="E75" s="802"/>
      <c r="F75" s="802"/>
      <c r="G75" s="803"/>
      <c r="H75" s="287"/>
      <c r="I75" s="253">
        <f>ROUNDDOWN(I69+I70+I71+I72+I73+I74,2)</f>
        <v>114937.3</v>
      </c>
    </row>
    <row r="76" spans="1:9">
      <c r="A76" s="237">
        <v>9</v>
      </c>
      <c r="B76" s="236"/>
      <c r="C76" s="237"/>
      <c r="D76" s="254" t="s">
        <v>72</v>
      </c>
      <c r="E76" s="243"/>
      <c r="F76" s="243"/>
      <c r="G76" s="244"/>
      <c r="H76" s="265"/>
      <c r="I76" s="252"/>
    </row>
    <row r="77" spans="1:9" ht="26.25">
      <c r="A77" s="236" t="s">
        <v>234</v>
      </c>
      <c r="B77" s="255">
        <v>110210</v>
      </c>
      <c r="C77" s="237" t="s">
        <v>37</v>
      </c>
      <c r="D77" s="249" t="s">
        <v>73</v>
      </c>
      <c r="E77" s="243" t="s">
        <v>5</v>
      </c>
      <c r="F77" s="268">
        <v>162.04</v>
      </c>
      <c r="G77" s="244">
        <v>51.8</v>
      </c>
      <c r="H77" s="242">
        <f>ROUNDDOWN(G77/$K$9*$J$9,2)</f>
        <v>50.09</v>
      </c>
      <c r="I77" s="252">
        <f>ROUNDDOWN(F77*H77,2)</f>
        <v>8116.58</v>
      </c>
    </row>
    <row r="78" spans="1:9">
      <c r="A78" s="801" t="s">
        <v>8</v>
      </c>
      <c r="B78" s="802"/>
      <c r="C78" s="802"/>
      <c r="D78" s="802"/>
      <c r="E78" s="802"/>
      <c r="F78" s="802"/>
      <c r="G78" s="803"/>
      <c r="H78" s="287"/>
      <c r="I78" s="253">
        <f>I77</f>
        <v>8116.58</v>
      </c>
    </row>
    <row r="79" spans="1:9">
      <c r="A79" s="237">
        <v>10</v>
      </c>
      <c r="B79" s="236"/>
      <c r="C79" s="237"/>
      <c r="D79" s="254" t="s">
        <v>74</v>
      </c>
      <c r="E79" s="262"/>
      <c r="F79" s="262"/>
      <c r="G79" s="263"/>
      <c r="H79" s="264"/>
      <c r="I79" s="295"/>
    </row>
    <row r="80" spans="1:9" ht="39.75" customHeight="1">
      <c r="A80" s="236" t="s">
        <v>111</v>
      </c>
      <c r="B80" s="255">
        <v>120101</v>
      </c>
      <c r="C80" s="237" t="s">
        <v>37</v>
      </c>
      <c r="D80" s="249" t="s">
        <v>376</v>
      </c>
      <c r="E80" s="243" t="s">
        <v>5</v>
      </c>
      <c r="F80" s="245">
        <v>380.16</v>
      </c>
      <c r="G80" s="244">
        <v>4.8499999999999996</v>
      </c>
      <c r="H80" s="242">
        <f>ROUNDDOWN(G80/$K$9*$J$9,2)</f>
        <v>4.6900000000000004</v>
      </c>
      <c r="I80" s="252">
        <f>ROUNDDOWN(F80*H80,2)</f>
        <v>1782.95</v>
      </c>
    </row>
    <row r="81" spans="1:9" ht="78.75" customHeight="1">
      <c r="A81" s="236" t="s">
        <v>231</v>
      </c>
      <c r="B81" s="255">
        <v>87267</v>
      </c>
      <c r="C81" s="237" t="s">
        <v>93</v>
      </c>
      <c r="D81" s="249" t="s">
        <v>601</v>
      </c>
      <c r="E81" s="243" t="s">
        <v>5</v>
      </c>
      <c r="F81" s="245">
        <v>102.85</v>
      </c>
      <c r="G81" s="244">
        <v>40.01</v>
      </c>
      <c r="H81" s="245">
        <f>ROUNDDOWN(G81*$J$9,2)</f>
        <v>49.39</v>
      </c>
      <c r="I81" s="252">
        <f>ROUNDDOWN(F81*H81,2)</f>
        <v>5079.76</v>
      </c>
    </row>
    <row r="82" spans="1:9" ht="87" customHeight="1">
      <c r="A82" s="236" t="s">
        <v>232</v>
      </c>
      <c r="B82" s="343">
        <v>87532</v>
      </c>
      <c r="C82" s="344" t="s">
        <v>93</v>
      </c>
      <c r="D82" s="345" t="s">
        <v>378</v>
      </c>
      <c r="E82" s="243" t="s">
        <v>5</v>
      </c>
      <c r="F82" s="245">
        <v>5.91</v>
      </c>
      <c r="G82" s="244">
        <v>22.51</v>
      </c>
      <c r="H82" s="245">
        <f>ROUNDDOWN(G82*$J$9,2)</f>
        <v>27.78</v>
      </c>
      <c r="I82" s="252">
        <f>ROUNDDOWN(F82*H82,2)</f>
        <v>164.17</v>
      </c>
    </row>
    <row r="83" spans="1:9" ht="89.25" customHeight="1">
      <c r="A83" s="236" t="s">
        <v>233</v>
      </c>
      <c r="B83" s="343">
        <v>87536</v>
      </c>
      <c r="C83" s="344" t="s">
        <v>93</v>
      </c>
      <c r="D83" s="345" t="s">
        <v>603</v>
      </c>
      <c r="E83" s="243" t="s">
        <v>5</v>
      </c>
      <c r="F83" s="245">
        <v>96.94</v>
      </c>
      <c r="G83" s="244">
        <v>20.350000000000001</v>
      </c>
      <c r="H83" s="245">
        <f>ROUNDDOWN(G83*$J$9,2)</f>
        <v>25.12</v>
      </c>
      <c r="I83" s="252">
        <f>ROUNDDOWN(F83*H83,2)</f>
        <v>2435.13</v>
      </c>
    </row>
    <row r="84" spans="1:9" ht="51.75">
      <c r="A84" s="236" t="s">
        <v>602</v>
      </c>
      <c r="B84" s="255">
        <v>120303</v>
      </c>
      <c r="C84" s="237" t="s">
        <v>37</v>
      </c>
      <c r="D84" s="249" t="s">
        <v>377</v>
      </c>
      <c r="E84" s="243" t="s">
        <v>5</v>
      </c>
      <c r="F84" s="245">
        <v>277.31</v>
      </c>
      <c r="G84" s="244">
        <v>38.93</v>
      </c>
      <c r="H84" s="242">
        <f>ROUNDDOWN(G84/$K$9*$J$9,2)</f>
        <v>37.65</v>
      </c>
      <c r="I84" s="252">
        <f>ROUNDDOWN(F84*H84,2)</f>
        <v>10440.719999999999</v>
      </c>
    </row>
    <row r="85" spans="1:9">
      <c r="A85" s="801" t="s">
        <v>8</v>
      </c>
      <c r="B85" s="802"/>
      <c r="C85" s="802"/>
      <c r="D85" s="802"/>
      <c r="E85" s="802"/>
      <c r="F85" s="802"/>
      <c r="G85" s="803"/>
      <c r="H85" s="287"/>
      <c r="I85" s="253">
        <f>ROUNDDOWN(I80+I81+I82+I84+I83,2)</f>
        <v>19902.73</v>
      </c>
    </row>
    <row r="86" spans="1:9">
      <c r="A86" s="237">
        <v>11</v>
      </c>
      <c r="B86" s="287"/>
      <c r="C86" s="287"/>
      <c r="D86" s="254" t="s">
        <v>75</v>
      </c>
      <c r="E86" s="287"/>
      <c r="F86" s="287"/>
      <c r="G86" s="287"/>
      <c r="H86" s="287"/>
      <c r="I86" s="253"/>
    </row>
    <row r="87" spans="1:9" ht="76.5">
      <c r="A87" s="248" t="s">
        <v>107</v>
      </c>
      <c r="B87" s="243">
        <v>87747</v>
      </c>
      <c r="C87" s="297" t="s">
        <v>93</v>
      </c>
      <c r="D87" s="383" t="s">
        <v>380</v>
      </c>
      <c r="E87" s="248" t="s">
        <v>5</v>
      </c>
      <c r="F87" s="245">
        <v>14.9</v>
      </c>
      <c r="G87" s="241">
        <v>34.049999999999997</v>
      </c>
      <c r="H87" s="347">
        <f t="shared" ref="H87:H96" si="6">ROUNDDOWN(G87*$J$9,2)</f>
        <v>42.03</v>
      </c>
      <c r="I87" s="291">
        <f>ROUNDDOWN(F87*H87,2)</f>
        <v>626.24</v>
      </c>
    </row>
    <row r="88" spans="1:9" ht="81" customHeight="1">
      <c r="A88" s="248" t="s">
        <v>108</v>
      </c>
      <c r="B88" s="250">
        <v>87662</v>
      </c>
      <c r="C88" s="297" t="s">
        <v>93</v>
      </c>
      <c r="D88" s="251" t="s">
        <v>401</v>
      </c>
      <c r="E88" s="248" t="s">
        <v>5</v>
      </c>
      <c r="F88" s="347">
        <v>42</v>
      </c>
      <c r="G88" s="346">
        <v>26.42</v>
      </c>
      <c r="H88" s="347">
        <f t="shared" si="6"/>
        <v>32.61</v>
      </c>
      <c r="I88" s="291">
        <f>ROUNDDOWN(F88*H88,2)</f>
        <v>1369.62</v>
      </c>
    </row>
    <row r="89" spans="1:9" ht="25.5">
      <c r="A89" s="248" t="s">
        <v>109</v>
      </c>
      <c r="B89" s="255">
        <v>130112</v>
      </c>
      <c r="C89" s="237" t="s">
        <v>37</v>
      </c>
      <c r="D89" s="269" t="s">
        <v>379</v>
      </c>
      <c r="E89" s="243" t="s">
        <v>5</v>
      </c>
      <c r="F89" s="245">
        <v>112.87</v>
      </c>
      <c r="G89" s="241">
        <v>33.43</v>
      </c>
      <c r="H89" s="242">
        <f>ROUNDDOWN(G89/$K$9*$J$9,2)</f>
        <v>32.33</v>
      </c>
      <c r="I89" s="252">
        <f t="shared" ref="I89:I96" si="7">ROUNDDOWN(F89*H89,2)</f>
        <v>3649.08</v>
      </c>
    </row>
    <row r="90" spans="1:9" ht="66.75" customHeight="1">
      <c r="A90" s="248" t="s">
        <v>110</v>
      </c>
      <c r="B90" s="255" t="s">
        <v>609</v>
      </c>
      <c r="C90" s="237" t="s">
        <v>93</v>
      </c>
      <c r="D90" s="249" t="s">
        <v>610</v>
      </c>
      <c r="E90" s="243" t="s">
        <v>5</v>
      </c>
      <c r="F90" s="241">
        <v>55.97</v>
      </c>
      <c r="G90" s="241">
        <v>45.39</v>
      </c>
      <c r="H90" s="245">
        <f t="shared" si="6"/>
        <v>56.03</v>
      </c>
      <c r="I90" s="252">
        <f t="shared" si="7"/>
        <v>3135.99</v>
      </c>
    </row>
    <row r="91" spans="1:9" ht="54" customHeight="1">
      <c r="A91" s="248" t="s">
        <v>228</v>
      </c>
      <c r="B91" s="255">
        <v>87246</v>
      </c>
      <c r="C91" s="237" t="s">
        <v>93</v>
      </c>
      <c r="D91" s="249" t="s">
        <v>237</v>
      </c>
      <c r="E91" s="243" t="s">
        <v>5</v>
      </c>
      <c r="F91" s="245">
        <v>3.2</v>
      </c>
      <c r="G91" s="245">
        <v>32</v>
      </c>
      <c r="H91" s="245">
        <f t="shared" si="6"/>
        <v>39.5</v>
      </c>
      <c r="I91" s="252">
        <f t="shared" si="7"/>
        <v>126.4</v>
      </c>
    </row>
    <row r="92" spans="1:9" ht="57" customHeight="1">
      <c r="A92" s="248" t="s">
        <v>229</v>
      </c>
      <c r="B92" s="255">
        <v>87247</v>
      </c>
      <c r="C92" s="237" t="s">
        <v>93</v>
      </c>
      <c r="D92" s="249" t="s">
        <v>597</v>
      </c>
      <c r="E92" s="243" t="s">
        <v>5</v>
      </c>
      <c r="F92" s="245">
        <v>11.7</v>
      </c>
      <c r="G92" s="245">
        <v>27.97</v>
      </c>
      <c r="H92" s="245">
        <f>ROUNDDOWN(G92*$J$9,2)</f>
        <v>34.520000000000003</v>
      </c>
      <c r="I92" s="252">
        <f t="shared" si="7"/>
        <v>403.88</v>
      </c>
    </row>
    <row r="93" spans="1:9" ht="54" customHeight="1">
      <c r="A93" s="248" t="s">
        <v>230</v>
      </c>
      <c r="B93" s="255">
        <v>87248</v>
      </c>
      <c r="C93" s="237" t="s">
        <v>93</v>
      </c>
      <c r="D93" s="249" t="s">
        <v>598</v>
      </c>
      <c r="E93" s="243" t="s">
        <v>5</v>
      </c>
      <c r="F93" s="245">
        <v>42</v>
      </c>
      <c r="G93" s="245">
        <v>24.64</v>
      </c>
      <c r="H93" s="245">
        <f>ROUNDDOWN(G93*$J$9,2)</f>
        <v>30.41</v>
      </c>
      <c r="I93" s="252">
        <f t="shared" si="7"/>
        <v>1277.22</v>
      </c>
    </row>
    <row r="94" spans="1:9" ht="53.25" customHeight="1">
      <c r="A94" s="248" t="s">
        <v>402</v>
      </c>
      <c r="B94" s="255">
        <v>84161</v>
      </c>
      <c r="C94" s="237" t="s">
        <v>93</v>
      </c>
      <c r="D94" s="249" t="s">
        <v>238</v>
      </c>
      <c r="E94" s="250" t="s">
        <v>17</v>
      </c>
      <c r="F94" s="245">
        <v>6.3</v>
      </c>
      <c r="G94" s="241">
        <v>37.89</v>
      </c>
      <c r="H94" s="245">
        <f t="shared" si="6"/>
        <v>46.77</v>
      </c>
      <c r="I94" s="252">
        <f t="shared" si="7"/>
        <v>294.64999999999998</v>
      </c>
    </row>
    <row r="95" spans="1:9" ht="67.5" customHeight="1">
      <c r="A95" s="248" t="s">
        <v>599</v>
      </c>
      <c r="B95" s="255">
        <v>84088</v>
      </c>
      <c r="C95" s="237" t="s">
        <v>93</v>
      </c>
      <c r="D95" s="249" t="s">
        <v>239</v>
      </c>
      <c r="E95" s="250" t="s">
        <v>17</v>
      </c>
      <c r="F95" s="245">
        <v>48.3</v>
      </c>
      <c r="G95" s="241">
        <v>60.25</v>
      </c>
      <c r="H95" s="245">
        <f t="shared" si="6"/>
        <v>74.37</v>
      </c>
      <c r="I95" s="252">
        <f t="shared" si="7"/>
        <v>3592.07</v>
      </c>
    </row>
    <row r="96" spans="1:9" ht="40.5" customHeight="1">
      <c r="A96" s="540" t="s">
        <v>600</v>
      </c>
      <c r="B96" s="541">
        <v>88648</v>
      </c>
      <c r="C96" s="542" t="s">
        <v>93</v>
      </c>
      <c r="D96" s="296" t="s">
        <v>240</v>
      </c>
      <c r="E96" s="277" t="s">
        <v>17</v>
      </c>
      <c r="F96" s="543">
        <v>256.58</v>
      </c>
      <c r="G96" s="544">
        <v>5.8</v>
      </c>
      <c r="H96" s="544">
        <f t="shared" si="6"/>
        <v>7.16</v>
      </c>
      <c r="I96" s="545">
        <f t="shared" si="7"/>
        <v>1837.11</v>
      </c>
    </row>
    <row r="97" spans="1:9">
      <c r="A97" s="801" t="s">
        <v>8</v>
      </c>
      <c r="B97" s="802"/>
      <c r="C97" s="802"/>
      <c r="D97" s="802"/>
      <c r="E97" s="802"/>
      <c r="F97" s="802"/>
      <c r="G97" s="803"/>
      <c r="H97" s="287"/>
      <c r="I97" s="253">
        <f>ROUNDDOWN(I89+I90+I91+I94+I95+I96+I88+I87+I92+I93,2)</f>
        <v>16312.26</v>
      </c>
    </row>
    <row r="98" spans="1:9">
      <c r="A98" s="297">
        <v>12</v>
      </c>
      <c r="B98" s="270"/>
      <c r="C98" s="270"/>
      <c r="D98" s="271" t="s">
        <v>304</v>
      </c>
      <c r="E98" s="274"/>
      <c r="F98" s="274"/>
      <c r="G98" s="274"/>
      <c r="H98" s="274"/>
      <c r="I98" s="426"/>
    </row>
    <row r="99" spans="1:9" ht="51.75">
      <c r="A99" s="243" t="s">
        <v>112</v>
      </c>
      <c r="B99" s="255">
        <v>89446</v>
      </c>
      <c r="C99" s="237" t="s">
        <v>93</v>
      </c>
      <c r="D99" s="249" t="s">
        <v>276</v>
      </c>
      <c r="E99" s="250" t="s">
        <v>17</v>
      </c>
      <c r="F99" s="245">
        <v>24</v>
      </c>
      <c r="G99" s="241">
        <v>3.38</v>
      </c>
      <c r="H99" s="245">
        <f t="shared" ref="H99:H111" si="8">ROUNDDOWN(G99*$J$9,2)</f>
        <v>4.17</v>
      </c>
      <c r="I99" s="252">
        <f t="shared" ref="I99:I112" si="9">ROUNDDOWN(F99*H99,2)</f>
        <v>100.08</v>
      </c>
    </row>
    <row r="100" spans="1:9" ht="51.75">
      <c r="A100" s="243" t="s">
        <v>250</v>
      </c>
      <c r="B100" s="255">
        <v>89362</v>
      </c>
      <c r="C100" s="237" t="s">
        <v>93</v>
      </c>
      <c r="D100" s="249" t="s">
        <v>277</v>
      </c>
      <c r="E100" s="250" t="s">
        <v>69</v>
      </c>
      <c r="F100" s="245">
        <v>5</v>
      </c>
      <c r="G100" s="245">
        <v>5</v>
      </c>
      <c r="H100" s="245">
        <f t="shared" si="8"/>
        <v>6.17</v>
      </c>
      <c r="I100" s="252">
        <f t="shared" si="9"/>
        <v>30.85</v>
      </c>
    </row>
    <row r="101" spans="1:9" ht="51.75">
      <c r="A101" s="243" t="s">
        <v>251</v>
      </c>
      <c r="B101" s="627">
        <v>89497</v>
      </c>
      <c r="C101" s="237" t="s">
        <v>93</v>
      </c>
      <c r="D101" s="249" t="s">
        <v>642</v>
      </c>
      <c r="E101" s="250" t="s">
        <v>69</v>
      </c>
      <c r="F101" s="245">
        <v>5</v>
      </c>
      <c r="G101" s="245">
        <v>6.37</v>
      </c>
      <c r="H101" s="245">
        <f t="shared" si="8"/>
        <v>7.86</v>
      </c>
      <c r="I101" s="252">
        <f t="shared" si="9"/>
        <v>39.299999999999997</v>
      </c>
    </row>
    <row r="102" spans="1:9" ht="66" customHeight="1">
      <c r="A102" s="243" t="s">
        <v>252</v>
      </c>
      <c r="B102" s="667">
        <v>89383</v>
      </c>
      <c r="C102" s="237" t="s">
        <v>93</v>
      </c>
      <c r="D102" s="249" t="s">
        <v>278</v>
      </c>
      <c r="E102" s="250" t="s">
        <v>69</v>
      </c>
      <c r="F102" s="245">
        <v>5</v>
      </c>
      <c r="G102" s="241">
        <v>4.01</v>
      </c>
      <c r="H102" s="245">
        <f t="shared" si="8"/>
        <v>4.95</v>
      </c>
      <c r="I102" s="252">
        <f t="shared" si="9"/>
        <v>24.75</v>
      </c>
    </row>
    <row r="103" spans="1:9" ht="51.75">
      <c r="A103" s="243" t="s">
        <v>253</v>
      </c>
      <c r="B103" s="250">
        <v>89353</v>
      </c>
      <c r="C103" s="237" t="s">
        <v>93</v>
      </c>
      <c r="D103" s="251" t="s">
        <v>279</v>
      </c>
      <c r="E103" s="250" t="s">
        <v>69</v>
      </c>
      <c r="F103" s="245">
        <v>3</v>
      </c>
      <c r="G103" s="241">
        <v>30.62</v>
      </c>
      <c r="H103" s="245">
        <f t="shared" si="8"/>
        <v>37.799999999999997</v>
      </c>
      <c r="I103" s="252">
        <f t="shared" si="9"/>
        <v>113.4</v>
      </c>
    </row>
    <row r="104" spans="1:9" ht="55.5" customHeight="1">
      <c r="A104" s="243" t="s">
        <v>254</v>
      </c>
      <c r="B104" s="250">
        <v>72784</v>
      </c>
      <c r="C104" s="237" t="s">
        <v>93</v>
      </c>
      <c r="D104" s="251" t="s">
        <v>280</v>
      </c>
      <c r="E104" s="250" t="s">
        <v>69</v>
      </c>
      <c r="F104" s="245">
        <v>1</v>
      </c>
      <c r="G104" s="241">
        <v>14.08</v>
      </c>
      <c r="H104" s="245">
        <f t="shared" si="8"/>
        <v>17.38</v>
      </c>
      <c r="I104" s="252">
        <f t="shared" si="9"/>
        <v>17.38</v>
      </c>
    </row>
    <row r="105" spans="1:9" ht="42" customHeight="1">
      <c r="A105" s="243" t="s">
        <v>256</v>
      </c>
      <c r="B105" s="255" t="s">
        <v>255</v>
      </c>
      <c r="C105" s="237" t="s">
        <v>93</v>
      </c>
      <c r="D105" s="249" t="s">
        <v>281</v>
      </c>
      <c r="E105" s="250" t="s">
        <v>69</v>
      </c>
      <c r="F105" s="245">
        <v>1</v>
      </c>
      <c r="G105" s="241">
        <v>52.03</v>
      </c>
      <c r="H105" s="245">
        <f t="shared" si="8"/>
        <v>64.23</v>
      </c>
      <c r="I105" s="252">
        <f t="shared" si="9"/>
        <v>64.23</v>
      </c>
    </row>
    <row r="106" spans="1:9" ht="42" customHeight="1">
      <c r="A106" s="243" t="s">
        <v>257</v>
      </c>
      <c r="B106" s="255">
        <v>72785</v>
      </c>
      <c r="C106" s="237" t="s">
        <v>93</v>
      </c>
      <c r="D106" s="249" t="s">
        <v>282</v>
      </c>
      <c r="E106" s="250" t="s">
        <v>69</v>
      </c>
      <c r="F106" s="245">
        <v>1</v>
      </c>
      <c r="G106" s="245">
        <v>17.3</v>
      </c>
      <c r="H106" s="245">
        <f t="shared" si="8"/>
        <v>21.35</v>
      </c>
      <c r="I106" s="252">
        <f t="shared" si="9"/>
        <v>21.35</v>
      </c>
    </row>
    <row r="107" spans="1:9" ht="53.25" customHeight="1">
      <c r="A107" s="243" t="s">
        <v>258</v>
      </c>
      <c r="B107" s="255">
        <v>89447</v>
      </c>
      <c r="C107" s="237" t="s">
        <v>93</v>
      </c>
      <c r="D107" s="249" t="s">
        <v>283</v>
      </c>
      <c r="E107" s="250" t="s">
        <v>17</v>
      </c>
      <c r="F107" s="245">
        <v>3</v>
      </c>
      <c r="G107" s="241">
        <v>6.89</v>
      </c>
      <c r="H107" s="245">
        <f t="shared" si="8"/>
        <v>8.5</v>
      </c>
      <c r="I107" s="252">
        <f t="shared" si="9"/>
        <v>25.5</v>
      </c>
    </row>
    <row r="108" spans="1:9" ht="57.75" customHeight="1">
      <c r="A108" s="243" t="s">
        <v>259</v>
      </c>
      <c r="B108" s="255">
        <v>89367</v>
      </c>
      <c r="C108" s="237" t="s">
        <v>93</v>
      </c>
      <c r="D108" s="249" t="s">
        <v>284</v>
      </c>
      <c r="E108" s="250" t="s">
        <v>69</v>
      </c>
      <c r="F108" s="245">
        <v>2</v>
      </c>
      <c r="G108" s="241">
        <v>6.75</v>
      </c>
      <c r="H108" s="245">
        <f t="shared" si="8"/>
        <v>8.33</v>
      </c>
      <c r="I108" s="252">
        <f t="shared" si="9"/>
        <v>16.66</v>
      </c>
    </row>
    <row r="109" spans="1:9" ht="68.25" customHeight="1">
      <c r="A109" s="243" t="s">
        <v>260</v>
      </c>
      <c r="B109" s="255">
        <v>89391</v>
      </c>
      <c r="C109" s="237" t="s">
        <v>93</v>
      </c>
      <c r="D109" s="249" t="s">
        <v>315</v>
      </c>
      <c r="E109" s="250" t="s">
        <v>69</v>
      </c>
      <c r="F109" s="245">
        <v>1</v>
      </c>
      <c r="G109" s="241">
        <v>5.46</v>
      </c>
      <c r="H109" s="245">
        <f t="shared" si="8"/>
        <v>6.74</v>
      </c>
      <c r="I109" s="252">
        <f t="shared" si="9"/>
        <v>6.74</v>
      </c>
    </row>
    <row r="110" spans="1:9" ht="42.75" customHeight="1">
      <c r="A110" s="243" t="s">
        <v>261</v>
      </c>
      <c r="B110" s="255" t="s">
        <v>271</v>
      </c>
      <c r="C110" s="237" t="s">
        <v>93</v>
      </c>
      <c r="D110" s="249" t="s">
        <v>285</v>
      </c>
      <c r="E110" s="250" t="s">
        <v>69</v>
      </c>
      <c r="F110" s="245">
        <v>1</v>
      </c>
      <c r="G110" s="241">
        <v>91.73</v>
      </c>
      <c r="H110" s="245">
        <f t="shared" si="8"/>
        <v>113.24</v>
      </c>
      <c r="I110" s="252">
        <f t="shared" si="9"/>
        <v>113.24</v>
      </c>
    </row>
    <row r="111" spans="1:9" ht="55.5" customHeight="1">
      <c r="A111" s="243" t="s">
        <v>262</v>
      </c>
      <c r="B111" s="255">
        <v>89400</v>
      </c>
      <c r="C111" s="237" t="s">
        <v>93</v>
      </c>
      <c r="D111" s="249" t="s">
        <v>286</v>
      </c>
      <c r="E111" s="250" t="s">
        <v>69</v>
      </c>
      <c r="F111" s="245">
        <v>1</v>
      </c>
      <c r="G111" s="241">
        <v>11.84</v>
      </c>
      <c r="H111" s="245">
        <f t="shared" si="8"/>
        <v>14.61</v>
      </c>
      <c r="I111" s="252">
        <f t="shared" si="9"/>
        <v>14.61</v>
      </c>
    </row>
    <row r="112" spans="1:9" ht="42.75" customHeight="1">
      <c r="A112" s="243" t="s">
        <v>263</v>
      </c>
      <c r="B112" s="255">
        <v>170550</v>
      </c>
      <c r="C112" s="237" t="s">
        <v>37</v>
      </c>
      <c r="D112" s="249" t="s">
        <v>675</v>
      </c>
      <c r="E112" s="250" t="s">
        <v>69</v>
      </c>
      <c r="F112" s="245">
        <v>1</v>
      </c>
      <c r="G112" s="670">
        <v>1296.24</v>
      </c>
      <c r="H112" s="242">
        <f>ROUNDDOWN(G112/$K$9*$J$9,2)</f>
        <v>1253.68</v>
      </c>
      <c r="I112" s="272">
        <f t="shared" si="9"/>
        <v>1253.68</v>
      </c>
    </row>
    <row r="113" spans="1:9" ht="56.25" customHeight="1">
      <c r="A113" s="243" t="s">
        <v>264</v>
      </c>
      <c r="B113" s="255">
        <v>89357</v>
      </c>
      <c r="C113" s="237" t="s">
        <v>93</v>
      </c>
      <c r="D113" s="249" t="s">
        <v>287</v>
      </c>
      <c r="E113" s="250" t="s">
        <v>17</v>
      </c>
      <c r="F113" s="245">
        <v>4</v>
      </c>
      <c r="G113" s="241">
        <v>17.61</v>
      </c>
      <c r="H113" s="245">
        <f t="shared" ref="H113:H121" si="10">ROUNDDOWN(G113*$J$9,2)</f>
        <v>21.73</v>
      </c>
      <c r="I113" s="252">
        <f t="shared" ref="I113:I121" si="11">ROUNDDOWN(F113*H113,2)</f>
        <v>86.92</v>
      </c>
    </row>
    <row r="114" spans="1:9" ht="69" customHeight="1">
      <c r="A114" s="243" t="s">
        <v>265</v>
      </c>
      <c r="B114" s="255">
        <v>89714</v>
      </c>
      <c r="C114" s="237" t="s">
        <v>93</v>
      </c>
      <c r="D114" s="249" t="s">
        <v>290</v>
      </c>
      <c r="E114" s="250" t="s">
        <v>17</v>
      </c>
      <c r="F114" s="245">
        <v>45</v>
      </c>
      <c r="G114" s="241">
        <v>33.49</v>
      </c>
      <c r="H114" s="245">
        <f t="shared" si="10"/>
        <v>41.34</v>
      </c>
      <c r="I114" s="252">
        <f t="shared" si="11"/>
        <v>1860.3</v>
      </c>
    </row>
    <row r="115" spans="1:9" ht="67.5" customHeight="1">
      <c r="A115" s="243" t="s">
        <v>266</v>
      </c>
      <c r="B115" s="255">
        <v>89744</v>
      </c>
      <c r="C115" s="237" t="s">
        <v>93</v>
      </c>
      <c r="D115" s="249" t="s">
        <v>291</v>
      </c>
      <c r="E115" s="250" t="s">
        <v>69</v>
      </c>
      <c r="F115" s="245">
        <v>5</v>
      </c>
      <c r="G115" s="241">
        <v>14.32</v>
      </c>
      <c r="H115" s="245">
        <f t="shared" si="10"/>
        <v>17.670000000000002</v>
      </c>
      <c r="I115" s="252">
        <f t="shared" si="11"/>
        <v>88.35</v>
      </c>
    </row>
    <row r="116" spans="1:9" ht="28.5" customHeight="1">
      <c r="A116" s="243" t="s">
        <v>267</v>
      </c>
      <c r="B116" s="255">
        <v>72295</v>
      </c>
      <c r="C116" s="237" t="s">
        <v>93</v>
      </c>
      <c r="D116" s="249" t="s">
        <v>292</v>
      </c>
      <c r="E116" s="250" t="s">
        <v>69</v>
      </c>
      <c r="F116" s="245">
        <v>5</v>
      </c>
      <c r="G116" s="241">
        <v>10.09</v>
      </c>
      <c r="H116" s="245">
        <f t="shared" si="10"/>
        <v>12.45</v>
      </c>
      <c r="I116" s="252">
        <f t="shared" si="11"/>
        <v>62.25</v>
      </c>
    </row>
    <row r="117" spans="1:9" ht="82.5" customHeight="1">
      <c r="A117" s="243" t="s">
        <v>268</v>
      </c>
      <c r="B117" s="255">
        <v>89797</v>
      </c>
      <c r="C117" s="237" t="s">
        <v>93</v>
      </c>
      <c r="D117" s="249" t="s">
        <v>293</v>
      </c>
      <c r="E117" s="250" t="s">
        <v>69</v>
      </c>
      <c r="F117" s="245">
        <v>5</v>
      </c>
      <c r="G117" s="241">
        <v>26.88</v>
      </c>
      <c r="H117" s="245">
        <f t="shared" si="10"/>
        <v>33.18</v>
      </c>
      <c r="I117" s="252">
        <f t="shared" si="11"/>
        <v>165.9</v>
      </c>
    </row>
    <row r="118" spans="1:9" ht="68.25" customHeight="1">
      <c r="A118" s="243" t="s">
        <v>269</v>
      </c>
      <c r="B118" s="255">
        <v>89711</v>
      </c>
      <c r="C118" s="237" t="s">
        <v>93</v>
      </c>
      <c r="D118" s="249" t="s">
        <v>294</v>
      </c>
      <c r="E118" s="250" t="s">
        <v>17</v>
      </c>
      <c r="F118" s="245">
        <v>8</v>
      </c>
      <c r="G118" s="241">
        <v>11.54</v>
      </c>
      <c r="H118" s="245">
        <f t="shared" si="10"/>
        <v>14.24</v>
      </c>
      <c r="I118" s="252">
        <f t="shared" si="11"/>
        <v>113.92</v>
      </c>
    </row>
    <row r="119" spans="1:9" ht="69" customHeight="1">
      <c r="A119" s="243" t="s">
        <v>270</v>
      </c>
      <c r="B119" s="255">
        <v>89724</v>
      </c>
      <c r="C119" s="237" t="s">
        <v>93</v>
      </c>
      <c r="D119" s="249" t="s">
        <v>295</v>
      </c>
      <c r="E119" s="250" t="s">
        <v>69</v>
      </c>
      <c r="F119" s="245">
        <v>8</v>
      </c>
      <c r="G119" s="241">
        <v>4.79</v>
      </c>
      <c r="H119" s="245">
        <f t="shared" si="10"/>
        <v>5.91</v>
      </c>
      <c r="I119" s="252">
        <f t="shared" si="11"/>
        <v>47.28</v>
      </c>
    </row>
    <row r="120" spans="1:9" ht="68.25" customHeight="1">
      <c r="A120" s="243" t="s">
        <v>272</v>
      </c>
      <c r="B120" s="255">
        <v>89726</v>
      </c>
      <c r="C120" s="237" t="s">
        <v>93</v>
      </c>
      <c r="D120" s="249" t="s">
        <v>296</v>
      </c>
      <c r="E120" s="250" t="s">
        <v>69</v>
      </c>
      <c r="F120" s="245">
        <v>2</v>
      </c>
      <c r="G120" s="241">
        <v>4.99</v>
      </c>
      <c r="H120" s="245">
        <f t="shared" si="10"/>
        <v>6.16</v>
      </c>
      <c r="I120" s="252">
        <f t="shared" si="11"/>
        <v>12.32</v>
      </c>
    </row>
    <row r="121" spans="1:9" ht="66.75" customHeight="1">
      <c r="A121" s="243" t="s">
        <v>273</v>
      </c>
      <c r="B121" s="255">
        <v>89707</v>
      </c>
      <c r="C121" s="237" t="s">
        <v>93</v>
      </c>
      <c r="D121" s="249" t="s">
        <v>297</v>
      </c>
      <c r="E121" s="250" t="s">
        <v>69</v>
      </c>
      <c r="F121" s="245">
        <v>6</v>
      </c>
      <c r="G121" s="241">
        <v>19.579999999999998</v>
      </c>
      <c r="H121" s="245">
        <f t="shared" si="10"/>
        <v>24.17</v>
      </c>
      <c r="I121" s="252">
        <f t="shared" si="11"/>
        <v>145.02000000000001</v>
      </c>
    </row>
    <row r="122" spans="1:9" ht="49.5" customHeight="1">
      <c r="A122" s="243" t="s">
        <v>274</v>
      </c>
      <c r="B122" s="627" t="s">
        <v>658</v>
      </c>
      <c r="C122" s="237" t="s">
        <v>93</v>
      </c>
      <c r="D122" s="249" t="s">
        <v>659</v>
      </c>
      <c r="E122" s="250" t="s">
        <v>69</v>
      </c>
      <c r="F122" s="245">
        <v>3</v>
      </c>
      <c r="G122" s="241">
        <v>159.09</v>
      </c>
      <c r="H122" s="245">
        <f>ROUNDDOWN(G122*$J$9,2)</f>
        <v>196.39</v>
      </c>
      <c r="I122" s="252">
        <f>ROUNDDOWN(F122*H122,2)</f>
        <v>589.16999999999996</v>
      </c>
    </row>
    <row r="123" spans="1:9" ht="66.75" customHeight="1">
      <c r="A123" s="243" t="s">
        <v>275</v>
      </c>
      <c r="B123" s="627">
        <v>89796</v>
      </c>
      <c r="C123" s="237" t="s">
        <v>93</v>
      </c>
      <c r="D123" s="249" t="s">
        <v>665</v>
      </c>
      <c r="E123" s="250" t="s">
        <v>69</v>
      </c>
      <c r="F123" s="245">
        <v>7</v>
      </c>
      <c r="G123" s="241">
        <v>25.53</v>
      </c>
      <c r="H123" s="245">
        <f>ROUNDDOWN(G123*$J$9,2)</f>
        <v>31.51</v>
      </c>
      <c r="I123" s="252">
        <f>ROUNDDOWN(F123*H123,2)</f>
        <v>220.57</v>
      </c>
    </row>
    <row r="124" spans="1:9">
      <c r="A124" s="801" t="s">
        <v>8</v>
      </c>
      <c r="B124" s="802"/>
      <c r="C124" s="802"/>
      <c r="D124" s="802"/>
      <c r="E124" s="802"/>
      <c r="F124" s="802"/>
      <c r="G124" s="803"/>
      <c r="H124" s="287"/>
      <c r="I124" s="253">
        <f>ROUNDDOWN(I99+I100+I101+I102+I103+I104+I105+I106+I107+I108+I109+I110+I111+I112+I113+I114+I115+I116+I117+I118+I119+I120+I121+I122+I123,2)</f>
        <v>5233.7700000000004</v>
      </c>
    </row>
    <row r="125" spans="1:9" ht="17.25" customHeight="1">
      <c r="A125" s="275">
        <v>13</v>
      </c>
      <c r="B125" s="274"/>
      <c r="C125" s="274"/>
      <c r="D125" s="754" t="s">
        <v>414</v>
      </c>
      <c r="E125" s="274"/>
      <c r="F125" s="274"/>
      <c r="G125" s="274"/>
      <c r="H125" s="287"/>
      <c r="I125" s="253"/>
    </row>
    <row r="126" spans="1:9" ht="33.75">
      <c r="A126" s="243" t="s">
        <v>316</v>
      </c>
      <c r="B126" s="243" t="s">
        <v>427</v>
      </c>
      <c r="C126" s="237" t="s">
        <v>93</v>
      </c>
      <c r="D126" s="748" t="s">
        <v>428</v>
      </c>
      <c r="E126" s="243" t="s">
        <v>69</v>
      </c>
      <c r="F126" s="245">
        <v>8</v>
      </c>
      <c r="G126" s="241">
        <v>45.83</v>
      </c>
      <c r="H126" s="402">
        <f>ROUNDDOWN(G126*$J$9,2)</f>
        <v>56.57</v>
      </c>
      <c r="I126" s="252">
        <f>ROUNDDOWN(F126*H126,2)</f>
        <v>452.56</v>
      </c>
    </row>
    <row r="127" spans="1:9" ht="33.75">
      <c r="A127" s="243" t="s">
        <v>317</v>
      </c>
      <c r="B127" s="243">
        <v>72332</v>
      </c>
      <c r="C127" s="237" t="s">
        <v>93</v>
      </c>
      <c r="D127" s="748" t="s">
        <v>336</v>
      </c>
      <c r="E127" s="243" t="s">
        <v>69</v>
      </c>
      <c r="F127" s="245">
        <v>10</v>
      </c>
      <c r="G127" s="241">
        <v>19.68</v>
      </c>
      <c r="H127" s="402">
        <f>ROUNDDOWN(G127*$J$9,2)</f>
        <v>24.29</v>
      </c>
      <c r="I127" s="252">
        <f>ROUNDDOWN(F127*H127,2)</f>
        <v>242.9</v>
      </c>
    </row>
    <row r="128" spans="1:9" ht="40.5" customHeight="1">
      <c r="A128" s="243" t="s">
        <v>318</v>
      </c>
      <c r="B128" s="243">
        <v>83417</v>
      </c>
      <c r="C128" s="237" t="s">
        <v>93</v>
      </c>
      <c r="D128" s="748" t="s">
        <v>429</v>
      </c>
      <c r="E128" s="243" t="s">
        <v>17</v>
      </c>
      <c r="F128" s="245">
        <v>265</v>
      </c>
      <c r="G128" s="241">
        <v>2.92</v>
      </c>
      <c r="H128" s="402">
        <f>ROUNDDOWN(G128*$J$9,2)</f>
        <v>3.6</v>
      </c>
      <c r="I128" s="252">
        <f>ROUNDDOWN(F128*H128,2)</f>
        <v>954</v>
      </c>
    </row>
    <row r="129" spans="1:9" ht="50.25" customHeight="1">
      <c r="A129" s="243" t="s">
        <v>319</v>
      </c>
      <c r="B129" s="743" t="s">
        <v>326</v>
      </c>
      <c r="C129" s="744" t="s">
        <v>93</v>
      </c>
      <c r="D129" s="745" t="s">
        <v>365</v>
      </c>
      <c r="E129" s="743" t="s">
        <v>69</v>
      </c>
      <c r="F129" s="746">
        <v>15</v>
      </c>
      <c r="G129" s="746">
        <v>88.95</v>
      </c>
      <c r="H129" s="402">
        <f t="shared" ref="H129:H132" si="12">ROUNDDOWN(G129*$J$9,2)</f>
        <v>109.8</v>
      </c>
      <c r="I129" s="252">
        <f t="shared" ref="I129:I148" si="13">ROUNDDOWN(F129*H129,2)</f>
        <v>1647</v>
      </c>
    </row>
    <row r="130" spans="1:9" ht="29.25" customHeight="1">
      <c r="A130" s="243" t="s">
        <v>320</v>
      </c>
      <c r="B130" s="743" t="s">
        <v>751</v>
      </c>
      <c r="C130" s="744" t="s">
        <v>93</v>
      </c>
      <c r="D130" s="745" t="s">
        <v>752</v>
      </c>
      <c r="E130" s="743" t="s">
        <v>69</v>
      </c>
      <c r="F130" s="746">
        <v>12</v>
      </c>
      <c r="G130" s="747">
        <v>70.760000000000005</v>
      </c>
      <c r="H130" s="402">
        <f t="shared" si="12"/>
        <v>87.35</v>
      </c>
      <c r="I130" s="252">
        <f t="shared" si="13"/>
        <v>1048.2</v>
      </c>
    </row>
    <row r="131" spans="1:9" ht="27" customHeight="1">
      <c r="A131" s="243" t="s">
        <v>768</v>
      </c>
      <c r="B131" s="743">
        <v>83540</v>
      </c>
      <c r="C131" s="744" t="s">
        <v>93</v>
      </c>
      <c r="D131" s="748" t="s">
        <v>366</v>
      </c>
      <c r="E131" s="743" t="s">
        <v>69</v>
      </c>
      <c r="F131" s="746">
        <v>15</v>
      </c>
      <c r="G131" s="746">
        <v>12.47</v>
      </c>
      <c r="H131" s="402">
        <f t="shared" si="12"/>
        <v>15.39</v>
      </c>
      <c r="I131" s="252">
        <f t="shared" si="13"/>
        <v>230.85</v>
      </c>
    </row>
    <row r="132" spans="1:9" ht="40.5" customHeight="1">
      <c r="A132" s="243" t="s">
        <v>769</v>
      </c>
      <c r="B132" s="743">
        <v>83566</v>
      </c>
      <c r="C132" s="744" t="s">
        <v>93</v>
      </c>
      <c r="D132" s="748" t="s">
        <v>753</v>
      </c>
      <c r="E132" s="743" t="s">
        <v>69</v>
      </c>
      <c r="F132" s="746">
        <v>12</v>
      </c>
      <c r="G132" s="747">
        <v>21.71</v>
      </c>
      <c r="H132" s="402">
        <f t="shared" si="12"/>
        <v>26.8</v>
      </c>
      <c r="I132" s="252">
        <f t="shared" si="13"/>
        <v>321.60000000000002</v>
      </c>
    </row>
    <row r="133" spans="1:9" ht="22.5" customHeight="1">
      <c r="A133" s="243" t="s">
        <v>770</v>
      </c>
      <c r="B133" s="743">
        <v>150307</v>
      </c>
      <c r="C133" s="749" t="s">
        <v>37</v>
      </c>
      <c r="D133" s="748" t="s">
        <v>754</v>
      </c>
      <c r="E133" s="743" t="s">
        <v>69</v>
      </c>
      <c r="F133" s="746">
        <v>1</v>
      </c>
      <c r="G133" s="747">
        <v>312.26</v>
      </c>
      <c r="H133" s="402">
        <f>G133*1.0411</f>
        <v>325.09388599999994</v>
      </c>
      <c r="I133" s="252">
        <f t="shared" si="13"/>
        <v>325.08999999999997</v>
      </c>
    </row>
    <row r="134" spans="1:9" ht="46.5" customHeight="1">
      <c r="A134" s="243" t="s">
        <v>771</v>
      </c>
      <c r="B134" s="743">
        <v>150614</v>
      </c>
      <c r="C134" s="749" t="s">
        <v>37</v>
      </c>
      <c r="D134" s="748" t="s">
        <v>755</v>
      </c>
      <c r="E134" s="743" t="s">
        <v>69</v>
      </c>
      <c r="F134" s="746">
        <v>3</v>
      </c>
      <c r="G134" s="747">
        <v>95.12</v>
      </c>
      <c r="H134" s="402">
        <f>G134*1.0411</f>
        <v>99.029432</v>
      </c>
      <c r="I134" s="252">
        <f t="shared" si="13"/>
        <v>297.08</v>
      </c>
    </row>
    <row r="135" spans="1:9" ht="21" customHeight="1">
      <c r="A135" s="243" t="s">
        <v>772</v>
      </c>
      <c r="B135" s="743">
        <v>150623</v>
      </c>
      <c r="C135" s="749" t="s">
        <v>37</v>
      </c>
      <c r="D135" s="748" t="s">
        <v>756</v>
      </c>
      <c r="E135" s="743" t="s">
        <v>69</v>
      </c>
      <c r="F135" s="746">
        <v>20</v>
      </c>
      <c r="G135" s="747">
        <v>7.39</v>
      </c>
      <c r="H135" s="402">
        <f t="shared" ref="H135:H148" si="14">G135*1.0411</f>
        <v>7.6937289999999994</v>
      </c>
      <c r="I135" s="252">
        <f t="shared" si="13"/>
        <v>153.87</v>
      </c>
    </row>
    <row r="136" spans="1:9" ht="40.5" customHeight="1">
      <c r="A136" s="243" t="s">
        <v>773</v>
      </c>
      <c r="B136" s="743">
        <v>150624</v>
      </c>
      <c r="C136" s="749" t="s">
        <v>37</v>
      </c>
      <c r="D136" s="748" t="s">
        <v>757</v>
      </c>
      <c r="E136" s="743" t="s">
        <v>69</v>
      </c>
      <c r="F136" s="746">
        <v>25</v>
      </c>
      <c r="G136" s="747">
        <v>8.36</v>
      </c>
      <c r="H136" s="402">
        <f t="shared" si="14"/>
        <v>8.7035959999999992</v>
      </c>
      <c r="I136" s="252">
        <f t="shared" si="13"/>
        <v>217.58</v>
      </c>
    </row>
    <row r="137" spans="1:9" ht="22.5" customHeight="1">
      <c r="A137" s="243" t="s">
        <v>774</v>
      </c>
      <c r="B137" s="743">
        <v>150806</v>
      </c>
      <c r="C137" s="749" t="s">
        <v>37</v>
      </c>
      <c r="D137" s="748" t="s">
        <v>758</v>
      </c>
      <c r="E137" s="743" t="s">
        <v>17</v>
      </c>
      <c r="F137" s="746">
        <v>80</v>
      </c>
      <c r="G137" s="747">
        <v>17.41</v>
      </c>
      <c r="H137" s="402">
        <f t="shared" si="14"/>
        <v>18.125550999999998</v>
      </c>
      <c r="I137" s="252">
        <f t="shared" si="13"/>
        <v>1450.04</v>
      </c>
    </row>
    <row r="138" spans="1:9" ht="29.25" customHeight="1">
      <c r="A138" s="243" t="s">
        <v>775</v>
      </c>
      <c r="B138" s="743">
        <v>151132</v>
      </c>
      <c r="C138" s="749" t="s">
        <v>37</v>
      </c>
      <c r="D138" s="748" t="s">
        <v>759</v>
      </c>
      <c r="E138" s="743" t="s">
        <v>17</v>
      </c>
      <c r="F138" s="746">
        <v>100</v>
      </c>
      <c r="G138" s="747">
        <v>6.45</v>
      </c>
      <c r="H138" s="402">
        <f t="shared" si="14"/>
        <v>6.7150949999999998</v>
      </c>
      <c r="I138" s="252">
        <f t="shared" si="13"/>
        <v>671.5</v>
      </c>
    </row>
    <row r="139" spans="1:9" ht="24.75" customHeight="1">
      <c r="A139" s="243" t="s">
        <v>776</v>
      </c>
      <c r="B139" s="743">
        <v>151133</v>
      </c>
      <c r="C139" s="749" t="s">
        <v>37</v>
      </c>
      <c r="D139" s="748" t="s">
        <v>760</v>
      </c>
      <c r="E139" s="743" t="s">
        <v>17</v>
      </c>
      <c r="F139" s="746">
        <v>60</v>
      </c>
      <c r="G139" s="747">
        <v>7.49</v>
      </c>
      <c r="H139" s="402">
        <f t="shared" si="14"/>
        <v>7.7978389999999997</v>
      </c>
      <c r="I139" s="252">
        <f t="shared" si="13"/>
        <v>467.87</v>
      </c>
    </row>
    <row r="140" spans="1:9" ht="29.25" customHeight="1">
      <c r="A140" s="243" t="s">
        <v>777</v>
      </c>
      <c r="B140" s="743">
        <v>151401</v>
      </c>
      <c r="C140" s="749" t="s">
        <v>37</v>
      </c>
      <c r="D140" s="748" t="s">
        <v>761</v>
      </c>
      <c r="E140" s="743" t="s">
        <v>17</v>
      </c>
      <c r="F140" s="746">
        <v>100</v>
      </c>
      <c r="G140" s="747">
        <v>3.48</v>
      </c>
      <c r="H140" s="402">
        <f t="shared" si="14"/>
        <v>3.6230279999999997</v>
      </c>
      <c r="I140" s="252">
        <f t="shared" si="13"/>
        <v>362.3</v>
      </c>
    </row>
    <row r="141" spans="1:9" ht="22.5">
      <c r="A141" s="243" t="s">
        <v>778</v>
      </c>
      <c r="B141" s="743">
        <v>151402</v>
      </c>
      <c r="C141" s="749" t="s">
        <v>37</v>
      </c>
      <c r="D141" s="748" t="s">
        <v>762</v>
      </c>
      <c r="E141" s="743" t="s">
        <v>17</v>
      </c>
      <c r="F141" s="746">
        <v>265</v>
      </c>
      <c r="G141" s="747">
        <v>4.26</v>
      </c>
      <c r="H141" s="402">
        <f t="shared" si="14"/>
        <v>4.4350859999999992</v>
      </c>
      <c r="I141" s="252">
        <f t="shared" si="13"/>
        <v>1175.29</v>
      </c>
    </row>
    <row r="142" spans="1:9" ht="22.5">
      <c r="A142" s="243" t="s">
        <v>779</v>
      </c>
      <c r="B142" s="743">
        <v>151403</v>
      </c>
      <c r="C142" s="749" t="s">
        <v>37</v>
      </c>
      <c r="D142" s="748" t="s">
        <v>763</v>
      </c>
      <c r="E142" s="743" t="s">
        <v>17</v>
      </c>
      <c r="F142" s="746">
        <v>50</v>
      </c>
      <c r="G142" s="747">
        <v>5.16</v>
      </c>
      <c r="H142" s="402">
        <f t="shared" ref="H142" si="15">G142*1.0411</f>
        <v>5.3720759999999999</v>
      </c>
      <c r="I142" s="252">
        <f t="shared" ref="I142" si="16">ROUNDDOWN(F142*H142,2)</f>
        <v>268.60000000000002</v>
      </c>
    </row>
    <row r="143" spans="1:9" ht="23.25">
      <c r="A143" s="243" t="s">
        <v>784</v>
      </c>
      <c r="B143" s="759">
        <v>151421</v>
      </c>
      <c r="C143" s="749" t="s">
        <v>37</v>
      </c>
      <c r="D143" s="755" t="s">
        <v>787</v>
      </c>
      <c r="E143" s="743" t="s">
        <v>17</v>
      </c>
      <c r="F143" s="746">
        <v>50</v>
      </c>
      <c r="G143" s="747">
        <v>12.22</v>
      </c>
      <c r="H143" s="402">
        <f t="shared" si="14"/>
        <v>12.722242</v>
      </c>
      <c r="I143" s="252">
        <f t="shared" si="13"/>
        <v>636.11</v>
      </c>
    </row>
    <row r="144" spans="1:9">
      <c r="A144" s="243" t="s">
        <v>317</v>
      </c>
      <c r="B144" s="750"/>
      <c r="C144" s="750"/>
      <c r="D144" s="751" t="s">
        <v>764</v>
      </c>
      <c r="E144" s="750"/>
      <c r="F144" s="750"/>
      <c r="G144" s="750"/>
      <c r="H144" s="402"/>
      <c r="I144" s="252"/>
    </row>
    <row r="145" spans="1:9" ht="45.75">
      <c r="A145" s="243" t="s">
        <v>780</v>
      </c>
      <c r="B145" s="760">
        <v>180702</v>
      </c>
      <c r="C145" s="749" t="s">
        <v>37</v>
      </c>
      <c r="D145" s="761" t="s">
        <v>767</v>
      </c>
      <c r="E145" s="743" t="s">
        <v>69</v>
      </c>
      <c r="F145" s="746">
        <v>30</v>
      </c>
      <c r="G145" s="747">
        <v>151.57</v>
      </c>
      <c r="H145" s="402">
        <f t="shared" si="14"/>
        <v>157.79952699999998</v>
      </c>
      <c r="I145" s="252">
        <f t="shared" si="13"/>
        <v>4733.9799999999996</v>
      </c>
    </row>
    <row r="146" spans="1:9" ht="25.5" customHeight="1">
      <c r="A146" s="243" t="s">
        <v>781</v>
      </c>
      <c r="B146" s="760">
        <v>150103</v>
      </c>
      <c r="C146" s="749" t="s">
        <v>37</v>
      </c>
      <c r="D146" s="761" t="s">
        <v>782</v>
      </c>
      <c r="E146" s="743" t="s">
        <v>69</v>
      </c>
      <c r="F146" s="746">
        <v>1</v>
      </c>
      <c r="G146" s="747">
        <v>713.14</v>
      </c>
      <c r="H146" s="402">
        <f t="shared" si="14"/>
        <v>742.45005399999991</v>
      </c>
      <c r="I146" s="252">
        <f t="shared" si="13"/>
        <v>742.45</v>
      </c>
    </row>
    <row r="147" spans="1:9" ht="39.75" customHeight="1">
      <c r="A147" s="243" t="s">
        <v>783</v>
      </c>
      <c r="B147" s="762">
        <v>151702</v>
      </c>
      <c r="C147" s="749" t="s">
        <v>37</v>
      </c>
      <c r="D147" s="755" t="s">
        <v>786</v>
      </c>
      <c r="E147" s="743" t="s">
        <v>69</v>
      </c>
      <c r="F147" s="746">
        <v>1</v>
      </c>
      <c r="G147" s="747">
        <v>1973.11</v>
      </c>
      <c r="H147" s="402">
        <f t="shared" si="14"/>
        <v>2054.2048209999998</v>
      </c>
      <c r="I147" s="252">
        <f t="shared" si="13"/>
        <v>2054.1999999999998</v>
      </c>
    </row>
    <row r="148" spans="1:9" ht="23.25">
      <c r="A148" s="243" t="s">
        <v>785</v>
      </c>
      <c r="B148" s="752">
        <v>180206</v>
      </c>
      <c r="C148" s="749" t="s">
        <v>37</v>
      </c>
      <c r="D148" s="753" t="s">
        <v>765</v>
      </c>
      <c r="E148" s="752" t="s">
        <v>69</v>
      </c>
      <c r="F148" s="746">
        <v>10</v>
      </c>
      <c r="G148" s="743">
        <v>18.97</v>
      </c>
      <c r="H148" s="402">
        <f t="shared" si="14"/>
        <v>19.749666999999999</v>
      </c>
      <c r="I148" s="252">
        <f t="shared" si="13"/>
        <v>197.49</v>
      </c>
    </row>
    <row r="149" spans="1:9" ht="15" customHeight="1">
      <c r="A149" s="801" t="s">
        <v>8</v>
      </c>
      <c r="B149" s="802"/>
      <c r="C149" s="802"/>
      <c r="D149" s="802"/>
      <c r="E149" s="802"/>
      <c r="F149" s="802"/>
      <c r="G149" s="803"/>
      <c r="H149" s="287"/>
      <c r="I149" s="253">
        <f>SUM(I126:I148)</f>
        <v>18650.560000000001</v>
      </c>
    </row>
    <row r="150" spans="1:9">
      <c r="A150" s="273">
        <v>14</v>
      </c>
      <c r="B150" s="270"/>
      <c r="C150" s="270"/>
      <c r="D150" s="271" t="s">
        <v>309</v>
      </c>
      <c r="E150" s="287"/>
      <c r="F150" s="287"/>
      <c r="G150" s="287"/>
      <c r="H150" s="287"/>
      <c r="I150" s="253"/>
    </row>
    <row r="151" spans="1:9" ht="51.75">
      <c r="A151" s="243" t="s">
        <v>305</v>
      </c>
      <c r="B151" s="250">
        <v>170132</v>
      </c>
      <c r="C151" s="297" t="s">
        <v>37</v>
      </c>
      <c r="D151" s="249" t="s">
        <v>171</v>
      </c>
      <c r="E151" s="250" t="s">
        <v>69</v>
      </c>
      <c r="F151" s="245">
        <v>1</v>
      </c>
      <c r="G151" s="241">
        <v>997.81</v>
      </c>
      <c r="H151" s="242">
        <f>ROUNDDOWN(G151/$K$9*$J$9,2)</f>
        <v>965.05</v>
      </c>
      <c r="I151" s="252">
        <f t="shared" ref="I151:I161" si="17">ROUNDDOWN(F151*H151,2)</f>
        <v>965.05</v>
      </c>
    </row>
    <row r="152" spans="1:9" ht="64.5">
      <c r="A152" s="243" t="s">
        <v>306</v>
      </c>
      <c r="B152" s="277">
        <v>170135</v>
      </c>
      <c r="C152" s="297" t="s">
        <v>37</v>
      </c>
      <c r="D152" s="276" t="s">
        <v>76</v>
      </c>
      <c r="E152" s="277" t="s">
        <v>69</v>
      </c>
      <c r="F152" s="245">
        <v>1</v>
      </c>
      <c r="G152" s="241">
        <v>1259.99</v>
      </c>
      <c r="H152" s="242">
        <f>ROUNDDOWN(G152/$K$9*$J$9,2)</f>
        <v>1218.6199999999999</v>
      </c>
      <c r="I152" s="252">
        <f t="shared" si="17"/>
        <v>1218.6199999999999</v>
      </c>
    </row>
    <row r="153" spans="1:9" ht="39">
      <c r="A153" s="243" t="s">
        <v>307</v>
      </c>
      <c r="B153" s="250">
        <v>170304</v>
      </c>
      <c r="C153" s="297" t="s">
        <v>37</v>
      </c>
      <c r="D153" s="279" t="s">
        <v>77</v>
      </c>
      <c r="E153" s="250" t="s">
        <v>69</v>
      </c>
      <c r="F153" s="245">
        <v>1</v>
      </c>
      <c r="G153" s="241">
        <v>66.02</v>
      </c>
      <c r="H153" s="242">
        <f>ROUNDDOWN(G153/$K$9*$J$9,2)</f>
        <v>63.85</v>
      </c>
      <c r="I153" s="252">
        <f t="shared" si="17"/>
        <v>63.85</v>
      </c>
    </row>
    <row r="154" spans="1:9" ht="39">
      <c r="A154" s="243" t="s">
        <v>308</v>
      </c>
      <c r="B154" s="246">
        <v>170346</v>
      </c>
      <c r="C154" s="297" t="s">
        <v>37</v>
      </c>
      <c r="D154" s="279" t="s">
        <v>78</v>
      </c>
      <c r="E154" s="250" t="s">
        <v>69</v>
      </c>
      <c r="F154" s="245">
        <v>5</v>
      </c>
      <c r="G154" s="241">
        <v>225.73</v>
      </c>
      <c r="H154" s="242">
        <f>ROUNDDOWN(G154/$K$9*$J$9,2)</f>
        <v>218.32</v>
      </c>
      <c r="I154" s="252">
        <f t="shared" si="17"/>
        <v>1091.5999999999999</v>
      </c>
    </row>
    <row r="155" spans="1:9" ht="39">
      <c r="A155" s="248" t="s">
        <v>313</v>
      </c>
      <c r="B155" s="796" t="s">
        <v>735</v>
      </c>
      <c r="C155" s="797"/>
      <c r="D155" s="279" t="s">
        <v>310</v>
      </c>
      <c r="E155" s="250" t="s">
        <v>69</v>
      </c>
      <c r="F155" s="245">
        <v>1</v>
      </c>
      <c r="G155" s="241">
        <v>88.65</v>
      </c>
      <c r="H155" s="245">
        <f>ROUNDDOWN(G155*$J$9,2)</f>
        <v>109.43</v>
      </c>
      <c r="I155" s="252">
        <f t="shared" si="17"/>
        <v>109.43</v>
      </c>
    </row>
    <row r="156" spans="1:9" ht="55.5" customHeight="1">
      <c r="A156" s="243" t="s">
        <v>410</v>
      </c>
      <c r="B156" s="236">
        <v>170504</v>
      </c>
      <c r="C156" s="237" t="s">
        <v>37</v>
      </c>
      <c r="D156" s="279" t="s">
        <v>412</v>
      </c>
      <c r="E156" s="250" t="s">
        <v>69</v>
      </c>
      <c r="F156" s="245">
        <v>3</v>
      </c>
      <c r="G156" s="241">
        <v>74.849999999999994</v>
      </c>
      <c r="H156" s="242">
        <f>ROUNDDOWN(G156/$K$9*$J$9,2)</f>
        <v>72.39</v>
      </c>
      <c r="I156" s="252">
        <f t="shared" si="17"/>
        <v>217.17</v>
      </c>
    </row>
    <row r="157" spans="1:9" ht="30" customHeight="1">
      <c r="A157" s="243" t="s">
        <v>411</v>
      </c>
      <c r="B157" s="236">
        <v>170111</v>
      </c>
      <c r="C157" s="237" t="s">
        <v>37</v>
      </c>
      <c r="D157" s="279" t="s">
        <v>413</v>
      </c>
      <c r="E157" s="250" t="s">
        <v>69</v>
      </c>
      <c r="F157" s="245">
        <v>5</v>
      </c>
      <c r="G157" s="241">
        <v>58.25</v>
      </c>
      <c r="H157" s="242">
        <f>ROUNDDOWN(G157/$K$9*$J$9,2)</f>
        <v>56.33</v>
      </c>
      <c r="I157" s="252">
        <f t="shared" si="17"/>
        <v>281.64999999999998</v>
      </c>
    </row>
    <row r="158" spans="1:9" ht="92.25" customHeight="1">
      <c r="A158" s="243" t="s">
        <v>430</v>
      </c>
      <c r="B158" s="236">
        <v>72739</v>
      </c>
      <c r="C158" s="297" t="s">
        <v>93</v>
      </c>
      <c r="D158" s="279" t="s">
        <v>431</v>
      </c>
      <c r="E158" s="250" t="s">
        <v>69</v>
      </c>
      <c r="F158" s="245">
        <v>4</v>
      </c>
      <c r="G158" s="241">
        <v>342.34</v>
      </c>
      <c r="H158" s="347">
        <f>ROUNDDOWN(G158*$J$9,2)</f>
        <v>422.61</v>
      </c>
      <c r="I158" s="252">
        <f t="shared" si="17"/>
        <v>1690.44</v>
      </c>
    </row>
    <row r="159" spans="1:9" ht="42" customHeight="1">
      <c r="A159" s="243" t="s">
        <v>475</v>
      </c>
      <c r="B159" s="236">
        <v>9535</v>
      </c>
      <c r="C159" s="297" t="s">
        <v>93</v>
      </c>
      <c r="D159" s="279" t="s">
        <v>477</v>
      </c>
      <c r="E159" s="250" t="s">
        <v>69</v>
      </c>
      <c r="F159" s="245">
        <v>4</v>
      </c>
      <c r="G159" s="241">
        <v>45.46</v>
      </c>
      <c r="H159" s="347">
        <f>ROUNDDOWN(G159*$J$9,2)</f>
        <v>56.12</v>
      </c>
      <c r="I159" s="252">
        <f t="shared" si="17"/>
        <v>224.48</v>
      </c>
    </row>
    <row r="160" spans="1:9" ht="105.75" customHeight="1">
      <c r="A160" s="243" t="s">
        <v>476</v>
      </c>
      <c r="B160" s="236">
        <v>86943</v>
      </c>
      <c r="C160" s="297" t="s">
        <v>93</v>
      </c>
      <c r="D160" s="279" t="s">
        <v>478</v>
      </c>
      <c r="E160" s="250" t="s">
        <v>69</v>
      </c>
      <c r="F160" s="245">
        <v>2</v>
      </c>
      <c r="G160" s="241">
        <v>134.51</v>
      </c>
      <c r="H160" s="347">
        <f>ROUNDDOWN(G160*$J$9,2)</f>
        <v>166.05</v>
      </c>
      <c r="I160" s="252">
        <f t="shared" si="17"/>
        <v>332.1</v>
      </c>
    </row>
    <row r="161" spans="1:9" ht="55.5" customHeight="1">
      <c r="A161" s="243" t="s">
        <v>481</v>
      </c>
      <c r="B161" s="236">
        <v>86911</v>
      </c>
      <c r="C161" s="297" t="s">
        <v>93</v>
      </c>
      <c r="D161" s="279" t="s">
        <v>482</v>
      </c>
      <c r="E161" s="250" t="s">
        <v>69</v>
      </c>
      <c r="F161" s="245">
        <v>4</v>
      </c>
      <c r="G161" s="241">
        <v>27.07</v>
      </c>
      <c r="H161" s="347">
        <f>ROUNDDOWN(G161*$J$9,2)</f>
        <v>33.409999999999997</v>
      </c>
      <c r="I161" s="252">
        <f t="shared" si="17"/>
        <v>133.63999999999999</v>
      </c>
    </row>
    <row r="162" spans="1:9">
      <c r="A162" s="801" t="s">
        <v>8</v>
      </c>
      <c r="B162" s="802"/>
      <c r="C162" s="802"/>
      <c r="D162" s="802"/>
      <c r="E162" s="802"/>
      <c r="F162" s="802"/>
      <c r="G162" s="803"/>
      <c r="H162" s="287"/>
      <c r="I162" s="253">
        <f>ROUNDDOWN(I151+I152+I153+I154+I155+I156+I157+I158+I159+I160+I161,2)</f>
        <v>6328.03</v>
      </c>
    </row>
    <row r="163" spans="1:9">
      <c r="A163" s="280">
        <v>15</v>
      </c>
      <c r="B163" s="287"/>
      <c r="C163" s="287"/>
      <c r="D163" s="281" t="s">
        <v>11</v>
      </c>
      <c r="E163" s="287"/>
      <c r="F163" s="287"/>
      <c r="G163" s="287"/>
      <c r="H163" s="245"/>
      <c r="I163" s="253"/>
    </row>
    <row r="164" spans="1:9" ht="28.5" customHeight="1">
      <c r="A164" s="248" t="s">
        <v>356</v>
      </c>
      <c r="B164" s="250" t="s">
        <v>383</v>
      </c>
      <c r="C164" s="297" t="s">
        <v>93</v>
      </c>
      <c r="D164" s="251" t="s">
        <v>384</v>
      </c>
      <c r="E164" s="248" t="s">
        <v>5</v>
      </c>
      <c r="F164" s="347">
        <v>669.04</v>
      </c>
      <c r="G164" s="346">
        <v>12.88</v>
      </c>
      <c r="H164" s="347">
        <f t="shared" ref="H164:H173" si="18">ROUNDDOWN(G164*$J$9,2)</f>
        <v>15.9</v>
      </c>
      <c r="I164" s="291">
        <f t="shared" ref="I164:I173" si="19">ROUNDDOWN(F164*H164,2)</f>
        <v>10637.73</v>
      </c>
    </row>
    <row r="165" spans="1:9" ht="42" customHeight="1">
      <c r="A165" s="248" t="s">
        <v>357</v>
      </c>
      <c r="B165" s="250">
        <v>84659</v>
      </c>
      <c r="C165" s="297" t="s">
        <v>93</v>
      </c>
      <c r="D165" s="251" t="s">
        <v>381</v>
      </c>
      <c r="E165" s="248" t="s">
        <v>5</v>
      </c>
      <c r="F165" s="346">
        <v>47.46</v>
      </c>
      <c r="G165" s="346">
        <v>11.74</v>
      </c>
      <c r="H165" s="347">
        <f t="shared" si="18"/>
        <v>14.49</v>
      </c>
      <c r="I165" s="291">
        <f t="shared" si="19"/>
        <v>687.69</v>
      </c>
    </row>
    <row r="166" spans="1:9" ht="25.5">
      <c r="A166" s="384" t="s">
        <v>358</v>
      </c>
      <c r="B166" s="248" t="s">
        <v>241</v>
      </c>
      <c r="C166" s="297" t="s">
        <v>93</v>
      </c>
      <c r="D166" s="385" t="s">
        <v>242</v>
      </c>
      <c r="E166" s="248" t="s">
        <v>5</v>
      </c>
      <c r="F166" s="347">
        <v>368.6</v>
      </c>
      <c r="G166" s="346">
        <v>9.94</v>
      </c>
      <c r="H166" s="347">
        <f t="shared" si="18"/>
        <v>12.27</v>
      </c>
      <c r="I166" s="291">
        <f t="shared" si="19"/>
        <v>4522.72</v>
      </c>
    </row>
    <row r="167" spans="1:9" ht="38.25">
      <c r="A167" s="384" t="s">
        <v>359</v>
      </c>
      <c r="B167" s="248">
        <v>88483</v>
      </c>
      <c r="C167" s="297" t="s">
        <v>93</v>
      </c>
      <c r="D167" s="385" t="s">
        <v>243</v>
      </c>
      <c r="E167" s="248" t="s">
        <v>5</v>
      </c>
      <c r="F167" s="347">
        <v>135.74</v>
      </c>
      <c r="G167" s="346">
        <v>2.4900000000000002</v>
      </c>
      <c r="H167" s="347">
        <f t="shared" si="18"/>
        <v>3.07</v>
      </c>
      <c r="I167" s="291">
        <f t="shared" si="19"/>
        <v>416.72</v>
      </c>
    </row>
    <row r="168" spans="1:9" ht="38.25">
      <c r="A168" s="248" t="s">
        <v>360</v>
      </c>
      <c r="B168" s="248">
        <v>88485</v>
      </c>
      <c r="C168" s="297" t="s">
        <v>93</v>
      </c>
      <c r="D168" s="385" t="s">
        <v>244</v>
      </c>
      <c r="E168" s="248" t="s">
        <v>5</v>
      </c>
      <c r="F168" s="346">
        <v>979.23</v>
      </c>
      <c r="G168" s="346">
        <v>2.4300000000000002</v>
      </c>
      <c r="H168" s="347">
        <f t="shared" si="18"/>
        <v>2.99</v>
      </c>
      <c r="I168" s="291">
        <f t="shared" si="19"/>
        <v>2927.89</v>
      </c>
    </row>
    <row r="169" spans="1:9" ht="38.25">
      <c r="A169" s="248" t="s">
        <v>361</v>
      </c>
      <c r="B169" s="248">
        <v>88487</v>
      </c>
      <c r="C169" s="297" t="s">
        <v>93</v>
      </c>
      <c r="D169" s="385" t="s">
        <v>245</v>
      </c>
      <c r="E169" s="248" t="s">
        <v>5</v>
      </c>
      <c r="F169" s="347">
        <v>550.29</v>
      </c>
      <c r="G169" s="346">
        <v>7.51</v>
      </c>
      <c r="H169" s="347">
        <f t="shared" si="18"/>
        <v>9.27</v>
      </c>
      <c r="I169" s="291">
        <f t="shared" si="19"/>
        <v>5101.18</v>
      </c>
    </row>
    <row r="170" spans="1:9" ht="42.75" customHeight="1">
      <c r="A170" s="248" t="s">
        <v>382</v>
      </c>
      <c r="B170" s="250">
        <v>88489</v>
      </c>
      <c r="C170" s="297" t="s">
        <v>93</v>
      </c>
      <c r="D170" s="251" t="s">
        <v>246</v>
      </c>
      <c r="E170" s="248" t="s">
        <v>5</v>
      </c>
      <c r="F170" s="346">
        <v>979.23</v>
      </c>
      <c r="G170" s="346">
        <v>9.3800000000000008</v>
      </c>
      <c r="H170" s="347">
        <f t="shared" si="18"/>
        <v>11.57</v>
      </c>
      <c r="I170" s="291">
        <f t="shared" si="19"/>
        <v>11329.69</v>
      </c>
    </row>
    <row r="171" spans="1:9">
      <c r="A171" s="248" t="s">
        <v>392</v>
      </c>
      <c r="B171" s="706">
        <v>72125</v>
      </c>
      <c r="C171" s="344" t="s">
        <v>93</v>
      </c>
      <c r="D171" s="710" t="s">
        <v>709</v>
      </c>
      <c r="E171" s="707" t="s">
        <v>5</v>
      </c>
      <c r="F171" s="708">
        <v>1207.32</v>
      </c>
      <c r="G171" s="401">
        <v>6.05</v>
      </c>
      <c r="H171" s="436">
        <f t="shared" si="18"/>
        <v>7.46</v>
      </c>
      <c r="I171" s="709">
        <f t="shared" si="19"/>
        <v>9006.6</v>
      </c>
    </row>
    <row r="172" spans="1:9" ht="41.25" customHeight="1">
      <c r="A172" s="248" t="s">
        <v>397</v>
      </c>
      <c r="B172" s="250">
        <v>88486</v>
      </c>
      <c r="C172" s="297" t="s">
        <v>93</v>
      </c>
      <c r="D172" s="251" t="s">
        <v>398</v>
      </c>
      <c r="E172" s="248" t="s">
        <v>5</v>
      </c>
      <c r="F172" s="346">
        <v>132.87</v>
      </c>
      <c r="G172" s="346">
        <v>8.25</v>
      </c>
      <c r="H172" s="347">
        <f t="shared" si="18"/>
        <v>10.18</v>
      </c>
      <c r="I172" s="291">
        <f t="shared" si="19"/>
        <v>1352.61</v>
      </c>
    </row>
    <row r="173" spans="1:9" ht="29.25" customHeight="1">
      <c r="A173" s="248" t="s">
        <v>530</v>
      </c>
      <c r="B173" s="250" t="s">
        <v>531</v>
      </c>
      <c r="C173" s="297" t="s">
        <v>93</v>
      </c>
      <c r="D173" s="251" t="s">
        <v>532</v>
      </c>
      <c r="E173" s="248" t="s">
        <v>5</v>
      </c>
      <c r="F173" s="346">
        <v>62.6</v>
      </c>
      <c r="G173" s="346">
        <v>19.809999999999999</v>
      </c>
      <c r="H173" s="347">
        <f t="shared" si="18"/>
        <v>24.45</v>
      </c>
      <c r="I173" s="291">
        <f t="shared" si="19"/>
        <v>1530.57</v>
      </c>
    </row>
    <row r="174" spans="1:9">
      <c r="A174" s="798" t="s">
        <v>114</v>
      </c>
      <c r="B174" s="799"/>
      <c r="C174" s="799"/>
      <c r="D174" s="799"/>
      <c r="E174" s="799"/>
      <c r="F174" s="799"/>
      <c r="G174" s="800"/>
      <c r="H174" s="287"/>
      <c r="I174" s="253">
        <f>ROUNDDOWN(I164+I165+I166+I167+I168+I169+I170+I171+I172+I173,2)</f>
        <v>47513.4</v>
      </c>
    </row>
    <row r="175" spans="1:9">
      <c r="A175" s="714">
        <v>16</v>
      </c>
      <c r="B175" s="715"/>
      <c r="C175" s="715"/>
      <c r="D175" s="716" t="s">
        <v>714</v>
      </c>
      <c r="E175" s="717"/>
      <c r="F175" s="717"/>
      <c r="G175" s="718"/>
      <c r="H175" s="719"/>
      <c r="I175" s="720"/>
    </row>
    <row r="176" spans="1:9" ht="25.5">
      <c r="A176" s="721" t="s">
        <v>227</v>
      </c>
      <c r="B176" s="243" t="s">
        <v>715</v>
      </c>
      <c r="C176" s="722" t="s">
        <v>93</v>
      </c>
      <c r="D176" s="723" t="s">
        <v>716</v>
      </c>
      <c r="E176" s="243" t="s">
        <v>5</v>
      </c>
      <c r="F176" s="240">
        <v>31.33</v>
      </c>
      <c r="G176" s="244">
        <v>15.88</v>
      </c>
      <c r="H176" s="347">
        <f>ROUNDDOWN(G176*$J$9,2)</f>
        <v>19.600000000000001</v>
      </c>
      <c r="I176" s="685">
        <f t="shared" ref="I176:I181" si="20">ROUNDDOWN(F176*H176,2)</f>
        <v>614.05999999999995</v>
      </c>
    </row>
    <row r="177" spans="1:9" ht="25.5">
      <c r="A177" s="721" t="s">
        <v>528</v>
      </c>
      <c r="B177" s="243">
        <v>130110</v>
      </c>
      <c r="C177" s="722" t="s">
        <v>37</v>
      </c>
      <c r="D177" s="723" t="s">
        <v>717</v>
      </c>
      <c r="E177" s="243" t="s">
        <v>5</v>
      </c>
      <c r="F177" s="240">
        <v>9.83</v>
      </c>
      <c r="G177" s="244">
        <v>44.07</v>
      </c>
      <c r="H177" s="242">
        <f>ROUNDDOWN(G177/$K$9*$J$9,2)</f>
        <v>42.62</v>
      </c>
      <c r="I177" s="724">
        <f t="shared" si="20"/>
        <v>418.95</v>
      </c>
    </row>
    <row r="178" spans="1:9" ht="63.75">
      <c r="A178" s="721" t="s">
        <v>723</v>
      </c>
      <c r="B178" s="243" t="s">
        <v>718</v>
      </c>
      <c r="C178" s="722" t="s">
        <v>93</v>
      </c>
      <c r="D178" s="723" t="s">
        <v>719</v>
      </c>
      <c r="E178" s="243" t="s">
        <v>5</v>
      </c>
      <c r="F178" s="240">
        <v>31.33</v>
      </c>
      <c r="G178" s="244">
        <v>32.68</v>
      </c>
      <c r="H178" s="347">
        <f>ROUNDDOWN(G178*$J$9,2)</f>
        <v>40.340000000000003</v>
      </c>
      <c r="I178" s="685">
        <f t="shared" si="20"/>
        <v>1263.8499999999999</v>
      </c>
    </row>
    <row r="179" spans="1:9" ht="51">
      <c r="A179" s="721" t="s">
        <v>724</v>
      </c>
      <c r="B179" s="243">
        <v>200202</v>
      </c>
      <c r="C179" s="722" t="s">
        <v>37</v>
      </c>
      <c r="D179" s="723" t="s">
        <v>720</v>
      </c>
      <c r="E179" s="243" t="s">
        <v>17</v>
      </c>
      <c r="F179" s="684">
        <v>18.32</v>
      </c>
      <c r="G179" s="260">
        <v>37.32</v>
      </c>
      <c r="H179" s="242">
        <f>ROUNDDOWN(G179/$K$9*$J$9,2)</f>
        <v>36.090000000000003</v>
      </c>
      <c r="I179" s="724">
        <f t="shared" si="20"/>
        <v>661.16</v>
      </c>
    </row>
    <row r="180" spans="1:9" ht="63.75">
      <c r="A180" s="721" t="s">
        <v>725</v>
      </c>
      <c r="B180" s="243">
        <v>200253</v>
      </c>
      <c r="C180" s="722" t="s">
        <v>37</v>
      </c>
      <c r="D180" s="723" t="s">
        <v>721</v>
      </c>
      <c r="E180" s="243" t="s">
        <v>5</v>
      </c>
      <c r="F180" s="450">
        <v>8.8000000000000007</v>
      </c>
      <c r="G180" s="451">
        <v>58.65</v>
      </c>
      <c r="H180" s="242">
        <f>ROUNDDOWN(G180/$K$9*$J$9,2)</f>
        <v>56.72</v>
      </c>
      <c r="I180" s="724">
        <f t="shared" si="20"/>
        <v>499.13</v>
      </c>
    </row>
    <row r="181" spans="1:9" ht="63.75">
      <c r="A181" s="721" t="s">
        <v>726</v>
      </c>
      <c r="B181" s="243">
        <v>200254</v>
      </c>
      <c r="C181" s="722" t="s">
        <v>37</v>
      </c>
      <c r="D181" s="723" t="s">
        <v>722</v>
      </c>
      <c r="E181" s="243" t="s">
        <v>5</v>
      </c>
      <c r="F181" s="450">
        <v>1.03</v>
      </c>
      <c r="G181" s="451">
        <v>58.65</v>
      </c>
      <c r="H181" s="242">
        <f>ROUNDDOWN(G181/$K$9*$J$9,2)</f>
        <v>56.72</v>
      </c>
      <c r="I181" s="724">
        <f t="shared" si="20"/>
        <v>58.42</v>
      </c>
    </row>
    <row r="182" spans="1:9">
      <c r="A182" s="801" t="s">
        <v>8</v>
      </c>
      <c r="B182" s="802"/>
      <c r="C182" s="802"/>
      <c r="D182" s="802"/>
      <c r="E182" s="802"/>
      <c r="F182" s="802"/>
      <c r="G182" s="803"/>
      <c r="H182" s="675"/>
      <c r="I182" s="253">
        <f>ROUNDDOWN(I176+I177+I178+I179+I180+I181,2)</f>
        <v>3515.57</v>
      </c>
    </row>
    <row r="183" spans="1:9" ht="25.5">
      <c r="A183" s="275">
        <v>17</v>
      </c>
      <c r="B183" s="693"/>
      <c r="C183" s="693"/>
      <c r="D183" s="283" t="s">
        <v>79</v>
      </c>
      <c r="E183" s="693"/>
      <c r="F183" s="693"/>
      <c r="G183" s="693"/>
      <c r="H183" s="693"/>
      <c r="I183" s="253"/>
    </row>
    <row r="184" spans="1:9" ht="39">
      <c r="A184" s="243" t="s">
        <v>113</v>
      </c>
      <c r="B184" s="278">
        <v>210315</v>
      </c>
      <c r="C184" s="237" t="s">
        <v>37</v>
      </c>
      <c r="D184" s="251" t="s">
        <v>80</v>
      </c>
      <c r="E184" s="250" t="s">
        <v>69</v>
      </c>
      <c r="F184" s="245">
        <v>2</v>
      </c>
      <c r="G184" s="241">
        <v>132.52000000000001</v>
      </c>
      <c r="H184" s="242">
        <f>ROUNDDOWN(G184/$K$9*$J$9,2)</f>
        <v>128.16</v>
      </c>
      <c r="I184" s="252">
        <f>ROUNDDOWN(F184*H184,2)</f>
        <v>256.32</v>
      </c>
    </row>
    <row r="185" spans="1:9" ht="26.25">
      <c r="A185" s="243" t="s">
        <v>579</v>
      </c>
      <c r="B185" s="278" t="s">
        <v>580</v>
      </c>
      <c r="C185" s="237" t="s">
        <v>93</v>
      </c>
      <c r="D185" s="251" t="s">
        <v>581</v>
      </c>
      <c r="E185" s="250" t="s">
        <v>17</v>
      </c>
      <c r="F185" s="245">
        <v>19.100000000000001</v>
      </c>
      <c r="G185" s="241">
        <v>54.63</v>
      </c>
      <c r="H185" s="245">
        <f>ROUNDDOWN(G185*$J$9,2)</f>
        <v>67.44</v>
      </c>
      <c r="I185" s="252">
        <f>ROUNDDOWN(F185*H185,2)</f>
        <v>1288.0999999999999</v>
      </c>
    </row>
    <row r="186" spans="1:9" ht="41.25" customHeight="1">
      <c r="A186" s="243" t="s">
        <v>740</v>
      </c>
      <c r="B186" s="810" t="s">
        <v>739</v>
      </c>
      <c r="C186" s="811"/>
      <c r="D186" s="251" t="s">
        <v>745</v>
      </c>
      <c r="E186" s="250" t="s">
        <v>69</v>
      </c>
      <c r="F186" s="245">
        <v>1</v>
      </c>
      <c r="G186" s="241">
        <v>651.85</v>
      </c>
      <c r="H186" s="245">
        <f>ROUNDDOWN(G186*$J$9,2)</f>
        <v>804.7</v>
      </c>
      <c r="I186" s="252">
        <f>ROUNDDOWN(F186*H186,2)</f>
        <v>804.7</v>
      </c>
    </row>
    <row r="187" spans="1:9">
      <c r="A187" s="807" t="s">
        <v>8</v>
      </c>
      <c r="B187" s="808"/>
      <c r="C187" s="808"/>
      <c r="D187" s="808"/>
      <c r="E187" s="808"/>
      <c r="F187" s="808"/>
      <c r="G187" s="809"/>
      <c r="H187" s="284"/>
      <c r="I187" s="298">
        <f>I184+I185+I186</f>
        <v>2349.12</v>
      </c>
    </row>
    <row r="188" spans="1:9" ht="25.5">
      <c r="A188" s="275">
        <v>18</v>
      </c>
      <c r="B188" s="287"/>
      <c r="C188" s="287"/>
      <c r="D188" s="282" t="s">
        <v>12</v>
      </c>
      <c r="E188" s="287"/>
      <c r="F188" s="287"/>
      <c r="G188" s="287"/>
      <c r="H188" s="287"/>
      <c r="I188" s="253"/>
    </row>
    <row r="189" spans="1:9">
      <c r="A189" s="243" t="s">
        <v>737</v>
      </c>
      <c r="B189" s="255">
        <v>9537</v>
      </c>
      <c r="C189" s="237" t="s">
        <v>93</v>
      </c>
      <c r="D189" s="267" t="s">
        <v>248</v>
      </c>
      <c r="E189" s="243" t="s">
        <v>5</v>
      </c>
      <c r="F189" s="241">
        <v>1173.53</v>
      </c>
      <c r="G189" s="241">
        <v>1.71</v>
      </c>
      <c r="H189" s="245">
        <f>ROUNDDOWN(G189*$J$9,2)</f>
        <v>2.11</v>
      </c>
      <c r="I189" s="252">
        <f>ROUNDDOWN(F189*H189,2)</f>
        <v>2476.14</v>
      </c>
    </row>
    <row r="190" spans="1:9" ht="39">
      <c r="A190" s="243" t="s">
        <v>738</v>
      </c>
      <c r="B190" s="255" t="s">
        <v>247</v>
      </c>
      <c r="C190" s="237" t="s">
        <v>93</v>
      </c>
      <c r="D190" s="249" t="s">
        <v>249</v>
      </c>
      <c r="E190" s="243" t="s">
        <v>17</v>
      </c>
      <c r="F190" s="245">
        <v>4.3</v>
      </c>
      <c r="G190" s="241">
        <v>56.45</v>
      </c>
      <c r="H190" s="245">
        <f>ROUNDDOWN(G190*$J$9,2)</f>
        <v>69.680000000000007</v>
      </c>
      <c r="I190" s="252">
        <f>ROUNDDOWN(F190*H190,2)</f>
        <v>299.62</v>
      </c>
    </row>
    <row r="191" spans="1:9" ht="15.75" thickBot="1">
      <c r="A191" s="801" t="s">
        <v>8</v>
      </c>
      <c r="B191" s="802"/>
      <c r="C191" s="802"/>
      <c r="D191" s="802"/>
      <c r="E191" s="802"/>
      <c r="F191" s="802"/>
      <c r="G191" s="803"/>
      <c r="H191" s="287"/>
      <c r="I191" s="253">
        <f>ROUNDDOWN(I189+I190,2)</f>
        <v>2775.76</v>
      </c>
    </row>
    <row r="192" spans="1:9" ht="15.75" customHeight="1" thickBot="1">
      <c r="A192" s="804" t="s">
        <v>36</v>
      </c>
      <c r="B192" s="805"/>
      <c r="C192" s="805"/>
      <c r="D192" s="805"/>
      <c r="E192" s="805"/>
      <c r="F192" s="805"/>
      <c r="G192" s="806"/>
      <c r="H192" s="285"/>
      <c r="I192" s="299">
        <f>ROUNDDOWN(I26+I31+I35+I43+I50+I55+I61+I67+I75+I78+I85+I97+I124+I149+I162+I174+I182+I187+I191,2)</f>
        <v>319400.89</v>
      </c>
    </row>
    <row r="193" spans="1:9" ht="15.75" customHeight="1">
      <c r="A193" s="790"/>
      <c r="B193" s="791"/>
      <c r="C193" s="791"/>
      <c r="D193" s="791"/>
      <c r="E193" s="791"/>
      <c r="F193" s="791"/>
      <c r="G193" s="791"/>
      <c r="H193" s="791"/>
      <c r="I193" s="792"/>
    </row>
    <row r="194" spans="1:9" ht="29.25" customHeight="1">
      <c r="A194" s="793"/>
      <c r="B194" s="794"/>
      <c r="C194" s="794"/>
      <c r="D194" s="794"/>
      <c r="E194" s="794"/>
      <c r="F194" s="794"/>
      <c r="G194" s="794"/>
      <c r="H194" s="794"/>
      <c r="I194" s="795"/>
    </row>
  </sheetData>
  <mergeCells count="29">
    <mergeCell ref="H1:I4"/>
    <mergeCell ref="C1:G4"/>
    <mergeCell ref="A43:G43"/>
    <mergeCell ref="A97:G97"/>
    <mergeCell ref="A1:B4"/>
    <mergeCell ref="A31:G31"/>
    <mergeCell ref="A26:G26"/>
    <mergeCell ref="A50:G50"/>
    <mergeCell ref="A6:I6"/>
    <mergeCell ref="A35:G35"/>
    <mergeCell ref="A7:I7"/>
    <mergeCell ref="A55:G55"/>
    <mergeCell ref="A8:I8"/>
    <mergeCell ref="A193:I194"/>
    <mergeCell ref="B155:C155"/>
    <mergeCell ref="A174:G174"/>
    <mergeCell ref="A191:G191"/>
    <mergeCell ref="A61:G61"/>
    <mergeCell ref="A85:G85"/>
    <mergeCell ref="A67:G67"/>
    <mergeCell ref="A75:G75"/>
    <mergeCell ref="A162:G162"/>
    <mergeCell ref="A124:G124"/>
    <mergeCell ref="A78:G78"/>
    <mergeCell ref="A192:G192"/>
    <mergeCell ref="A149:G149"/>
    <mergeCell ref="A182:G182"/>
    <mergeCell ref="A187:G187"/>
    <mergeCell ref="B186:C186"/>
  </mergeCells>
  <printOptions horizontalCentered="1" verticalCentered="1"/>
  <pageMargins left="0.11811023622047245" right="0.19685039370078741" top="0.78740157480314965" bottom="0.39370078740157483" header="0.31496062992125984" footer="0.31496062992125984"/>
  <pageSetup paperSize="9" scale="80" fitToHeight="2" orientation="portrait" r:id="rId1"/>
  <headerFooter>
    <oddFooter>Página &amp;P de &amp;N</oddFooter>
  </headerFooter>
  <rowBreaks count="1" manualBreakCount="1">
    <brk id="114" max="8" man="1"/>
  </rowBreaks>
  <drawing r:id="rId2"/>
  <legacyDrawing r:id="rId3"/>
  <oleObjects>
    <oleObject shapeId="4373" r:id="rId4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51"/>
  <sheetViews>
    <sheetView topLeftCell="B38" zoomScaleNormal="100" workbookViewId="0">
      <selection activeCell="H51" sqref="H51"/>
    </sheetView>
  </sheetViews>
  <sheetFormatPr defaultRowHeight="15"/>
  <cols>
    <col min="1" max="1" width="9.28515625" bestFit="1" customWidth="1"/>
    <col min="2" max="2" width="37.28515625" bestFit="1" customWidth="1"/>
    <col min="3" max="3" width="14.5703125" bestFit="1" customWidth="1"/>
    <col min="4" max="7" width="14" bestFit="1" customWidth="1"/>
    <col min="8" max="8" width="13.42578125" bestFit="1" customWidth="1"/>
    <col min="9" max="9" width="14" bestFit="1" customWidth="1"/>
    <col min="10" max="10" width="14.5703125" style="17" bestFit="1" customWidth="1"/>
    <col min="11" max="11" width="9.28515625" bestFit="1" customWidth="1"/>
  </cols>
  <sheetData>
    <row r="1" spans="1:18" s="18" customFormat="1" ht="15.75">
      <c r="A1" s="835"/>
      <c r="B1" s="836"/>
      <c r="C1" s="847" t="s">
        <v>362</v>
      </c>
      <c r="D1" s="848"/>
      <c r="E1" s="848"/>
      <c r="F1" s="848"/>
      <c r="G1" s="848"/>
      <c r="H1" s="842"/>
      <c r="I1" s="841"/>
      <c r="J1" s="842"/>
      <c r="K1" s="24"/>
      <c r="L1" s="834"/>
      <c r="M1" s="834"/>
      <c r="N1" s="834"/>
      <c r="O1" s="834"/>
      <c r="P1" s="834"/>
      <c r="Q1" s="834"/>
      <c r="R1" s="834"/>
    </row>
    <row r="2" spans="1:18" s="18" customFormat="1" ht="15.75">
      <c r="A2" s="837"/>
      <c r="B2" s="838"/>
      <c r="C2" s="843"/>
      <c r="D2" s="834"/>
      <c r="E2" s="834"/>
      <c r="F2" s="834"/>
      <c r="G2" s="834"/>
      <c r="H2" s="844"/>
      <c r="I2" s="843"/>
      <c r="J2" s="844"/>
      <c r="K2" s="24"/>
      <c r="L2" s="834"/>
      <c r="M2" s="834"/>
      <c r="N2" s="834"/>
      <c r="O2" s="834"/>
      <c r="P2" s="834"/>
      <c r="Q2" s="834"/>
      <c r="R2" s="834"/>
    </row>
    <row r="3" spans="1:18" s="18" customFormat="1" ht="15.75">
      <c r="A3" s="837"/>
      <c r="B3" s="838"/>
      <c r="C3" s="843"/>
      <c r="D3" s="834"/>
      <c r="E3" s="834"/>
      <c r="F3" s="834"/>
      <c r="G3" s="834"/>
      <c r="H3" s="844"/>
      <c r="I3" s="843"/>
      <c r="J3" s="844"/>
      <c r="K3" s="24"/>
      <c r="L3" s="834"/>
      <c r="M3" s="834"/>
      <c r="N3" s="834"/>
      <c r="O3" s="834"/>
      <c r="P3" s="834"/>
      <c r="Q3" s="834"/>
      <c r="R3" s="834"/>
    </row>
    <row r="4" spans="1:18" s="18" customFormat="1" ht="31.5" customHeight="1">
      <c r="A4" s="839"/>
      <c r="B4" s="840"/>
      <c r="C4" s="845"/>
      <c r="D4" s="849"/>
      <c r="E4" s="849"/>
      <c r="F4" s="849"/>
      <c r="G4" s="849"/>
      <c r="H4" s="846"/>
      <c r="I4" s="845"/>
      <c r="J4" s="846"/>
      <c r="K4" s="24"/>
      <c r="L4" s="834"/>
      <c r="M4" s="834"/>
      <c r="N4" s="834"/>
      <c r="O4" s="834"/>
      <c r="P4" s="834"/>
      <c r="Q4" s="834"/>
      <c r="R4" s="834"/>
    </row>
    <row r="5" spans="1:18" s="18" customFormat="1" ht="16.5">
      <c r="A5" s="831" t="s">
        <v>19</v>
      </c>
      <c r="B5" s="832"/>
      <c r="C5" s="832"/>
      <c r="D5" s="832"/>
      <c r="E5" s="832"/>
      <c r="F5" s="832"/>
      <c r="G5" s="832"/>
      <c r="H5" s="833"/>
      <c r="I5" s="11" t="s">
        <v>169</v>
      </c>
      <c r="J5" s="12">
        <v>42195</v>
      </c>
      <c r="K5" s="25"/>
      <c r="L5" s="25"/>
      <c r="M5" s="25"/>
      <c r="N5" s="25"/>
      <c r="O5" s="25"/>
      <c r="P5" s="25"/>
      <c r="Q5" s="20"/>
      <c r="R5" s="21"/>
    </row>
    <row r="6" spans="1:18" s="18" customFormat="1" ht="16.5">
      <c r="A6" s="831" t="s">
        <v>416</v>
      </c>
      <c r="B6" s="832"/>
      <c r="C6" s="832"/>
      <c r="D6" s="832"/>
      <c r="E6" s="832"/>
      <c r="F6" s="832"/>
      <c r="G6" s="832"/>
      <c r="H6" s="832"/>
      <c r="I6" s="832"/>
      <c r="J6" s="833"/>
      <c r="K6" s="25"/>
      <c r="L6" s="25"/>
      <c r="M6" s="25"/>
      <c r="N6" s="25"/>
      <c r="O6" s="25"/>
      <c r="P6" s="25"/>
      <c r="Q6" s="22"/>
      <c r="R6" s="23"/>
    </row>
    <row r="7" spans="1:18" s="19" customFormat="1" ht="18.75" customHeight="1">
      <c r="A7" s="857" t="s">
        <v>418</v>
      </c>
      <c r="B7" s="857"/>
      <c r="C7" s="857"/>
      <c r="D7" s="857"/>
      <c r="E7" s="857"/>
      <c r="F7" s="857"/>
      <c r="G7" s="857"/>
      <c r="H7" s="857"/>
      <c r="I7" s="857"/>
      <c r="J7" s="857"/>
      <c r="K7" s="26"/>
      <c r="L7" s="26"/>
      <c r="M7" s="26"/>
      <c r="N7" s="26"/>
      <c r="O7" s="26"/>
      <c r="P7" s="26"/>
      <c r="Q7" s="26"/>
      <c r="R7" s="26"/>
    </row>
    <row r="8" spans="1:18" s="19" customFormat="1" ht="81.75" customHeight="1">
      <c r="A8" s="858" t="s">
        <v>400</v>
      </c>
      <c r="B8" s="858"/>
      <c r="C8" s="858"/>
      <c r="D8" s="858"/>
      <c r="E8" s="858"/>
      <c r="F8" s="858"/>
      <c r="G8" s="858"/>
      <c r="H8" s="858"/>
      <c r="I8" s="858"/>
      <c r="J8" s="858"/>
      <c r="K8" s="27"/>
      <c r="L8" s="27"/>
      <c r="M8" s="27"/>
      <c r="N8" s="27"/>
      <c r="O8" s="27"/>
      <c r="P8" s="27"/>
      <c r="Q8" s="27"/>
      <c r="R8" s="27"/>
    </row>
    <row r="9" spans="1:18" s="18" customFormat="1" ht="18.75" customHeight="1">
      <c r="A9" s="859" t="s">
        <v>34</v>
      </c>
      <c r="B9" s="859"/>
      <c r="C9" s="859"/>
      <c r="D9" s="859"/>
      <c r="E9" s="859"/>
      <c r="F9" s="859"/>
      <c r="G9" s="859"/>
      <c r="H9" s="859"/>
      <c r="I9" s="859"/>
      <c r="J9" s="859"/>
      <c r="K9" s="28"/>
      <c r="L9" s="28"/>
      <c r="M9" s="28"/>
      <c r="N9" s="28"/>
      <c r="O9" s="28"/>
      <c r="P9" s="28"/>
      <c r="Q9" s="28"/>
      <c r="R9" s="28"/>
    </row>
    <row r="10" spans="1:18">
      <c r="A10" s="860" t="s">
        <v>25</v>
      </c>
      <c r="B10" s="861" t="s">
        <v>26</v>
      </c>
      <c r="C10" s="856" t="s">
        <v>27</v>
      </c>
      <c r="D10" s="852" t="s">
        <v>28</v>
      </c>
      <c r="E10" s="852" t="s">
        <v>29</v>
      </c>
      <c r="F10" s="852" t="s">
        <v>30</v>
      </c>
      <c r="G10" s="856" t="s">
        <v>31</v>
      </c>
      <c r="H10" s="856" t="s">
        <v>32</v>
      </c>
      <c r="I10" s="856" t="s">
        <v>33</v>
      </c>
      <c r="J10" s="856" t="s">
        <v>13</v>
      </c>
    </row>
    <row r="11" spans="1:18">
      <c r="A11" s="860"/>
      <c r="B11" s="861"/>
      <c r="C11" s="856"/>
      <c r="D11" s="853"/>
      <c r="E11" s="853"/>
      <c r="F11" s="853"/>
      <c r="G11" s="856"/>
      <c r="H11" s="856"/>
      <c r="I11" s="856"/>
      <c r="J11" s="856"/>
    </row>
    <row r="12" spans="1:18" ht="20.100000000000001" customHeight="1">
      <c r="A12" s="854">
        <v>1</v>
      </c>
      <c r="B12" s="854" t="s">
        <v>4</v>
      </c>
      <c r="C12" s="850">
        <f>CEIM_SÃO_PEDRO!I26</f>
        <v>9894.25</v>
      </c>
      <c r="D12" s="13">
        <v>9894.25</v>
      </c>
      <c r="E12" s="13"/>
      <c r="F12" s="13"/>
      <c r="G12" s="13"/>
      <c r="H12" s="13"/>
      <c r="I12" s="13"/>
      <c r="J12" s="13">
        <f>D12</f>
        <v>9894.25</v>
      </c>
    </row>
    <row r="13" spans="1:18" ht="20.100000000000001" customHeight="1">
      <c r="A13" s="855"/>
      <c r="B13" s="855"/>
      <c r="C13" s="851"/>
      <c r="D13" s="14">
        <f>D12/C50</f>
        <v>3.0977527958672875E-2</v>
      </c>
      <c r="E13" s="14"/>
      <c r="F13" s="14"/>
      <c r="G13" s="14"/>
      <c r="H13" s="14"/>
      <c r="I13" s="14"/>
      <c r="J13" s="14">
        <f>J12/C12</f>
        <v>1</v>
      </c>
    </row>
    <row r="14" spans="1:18" ht="20.100000000000001" customHeight="1">
      <c r="A14" s="854">
        <v>2</v>
      </c>
      <c r="B14" s="854" t="s">
        <v>65</v>
      </c>
      <c r="C14" s="850">
        <f>CEIM_SÃO_PEDRO!I31</f>
        <v>9982.3700000000008</v>
      </c>
      <c r="D14" s="13">
        <v>9982.3700000000008</v>
      </c>
      <c r="E14" s="13"/>
      <c r="F14" s="13"/>
      <c r="G14" s="13"/>
      <c r="H14" s="13"/>
      <c r="I14" s="13"/>
      <c r="J14" s="13">
        <f>D14</f>
        <v>9982.3700000000008</v>
      </c>
    </row>
    <row r="15" spans="1:18" ht="20.100000000000001" customHeight="1">
      <c r="A15" s="855"/>
      <c r="B15" s="855"/>
      <c r="C15" s="851"/>
      <c r="D15" s="14">
        <f>D14/C50</f>
        <v>3.1253419487966991E-2</v>
      </c>
      <c r="E15" s="14"/>
      <c r="F15" s="14"/>
      <c r="G15" s="14"/>
      <c r="H15" s="14"/>
      <c r="I15" s="14"/>
      <c r="J15" s="14">
        <f>J14/C14</f>
        <v>1</v>
      </c>
    </row>
    <row r="16" spans="1:18" ht="20.100000000000001" customHeight="1">
      <c r="A16" s="854">
        <v>3</v>
      </c>
      <c r="B16" s="854" t="s">
        <v>9</v>
      </c>
      <c r="C16" s="850">
        <f>CEIM_SÃO_PEDRO!I35</f>
        <v>1760.17</v>
      </c>
      <c r="D16" s="13">
        <v>850</v>
      </c>
      <c r="E16" s="13">
        <v>910.17</v>
      </c>
      <c r="F16" s="13"/>
      <c r="G16" s="13"/>
      <c r="H16" s="13"/>
      <c r="I16" s="13"/>
      <c r="J16" s="13">
        <f>D16+E16</f>
        <v>1760.17</v>
      </c>
    </row>
    <row r="17" spans="1:10" ht="20.100000000000001" customHeight="1">
      <c r="A17" s="855"/>
      <c r="B17" s="855"/>
      <c r="C17" s="851"/>
      <c r="D17" s="14">
        <f>D16/C50</f>
        <v>2.6612324092146391E-3</v>
      </c>
      <c r="E17" s="14">
        <f>E16/C50</f>
        <v>2.8496163551704565E-3</v>
      </c>
      <c r="F17" s="14"/>
      <c r="G17" s="14"/>
      <c r="H17" s="14"/>
      <c r="I17" s="7"/>
      <c r="J17" s="14">
        <f>J16/C16</f>
        <v>1</v>
      </c>
    </row>
    <row r="18" spans="1:10" ht="20.100000000000001" customHeight="1">
      <c r="A18" s="854" t="s">
        <v>190</v>
      </c>
      <c r="B18" s="854" t="s">
        <v>191</v>
      </c>
      <c r="C18" s="850">
        <f>CEIM_SÃO_PEDRO!I43</f>
        <v>5292.33</v>
      </c>
      <c r="D18" s="13">
        <v>5292.33</v>
      </c>
      <c r="E18" s="13"/>
      <c r="F18" s="13"/>
      <c r="G18" s="13"/>
      <c r="H18" s="13"/>
      <c r="I18" s="13"/>
      <c r="J18" s="13">
        <f>D18</f>
        <v>5292.33</v>
      </c>
    </row>
    <row r="19" spans="1:10" ht="20.100000000000001" customHeight="1">
      <c r="A19" s="855"/>
      <c r="B19" s="855"/>
      <c r="C19" s="851"/>
      <c r="D19" s="14">
        <f>D18/C50</f>
        <v>1.656955307795166E-2</v>
      </c>
      <c r="E19" s="14"/>
      <c r="F19" s="14"/>
      <c r="G19" s="14"/>
      <c r="H19" s="14"/>
      <c r="I19" s="14"/>
      <c r="J19" s="14">
        <f>J18/C18</f>
        <v>1</v>
      </c>
    </row>
    <row r="20" spans="1:10" ht="20.100000000000001" customHeight="1">
      <c r="A20" s="854" t="s">
        <v>192</v>
      </c>
      <c r="B20" s="854" t="s">
        <v>193</v>
      </c>
      <c r="C20" s="850">
        <f>CEIM_SÃO_PEDRO!I50</f>
        <v>7609.9</v>
      </c>
      <c r="D20" s="13"/>
      <c r="E20" s="13">
        <v>7609.9</v>
      </c>
      <c r="F20" s="13"/>
      <c r="G20" s="13"/>
      <c r="H20" s="13"/>
      <c r="I20" s="13"/>
      <c r="J20" s="13">
        <f>E20</f>
        <v>7609.9</v>
      </c>
    </row>
    <row r="21" spans="1:10" ht="20.100000000000001" customHeight="1">
      <c r="A21" s="855"/>
      <c r="B21" s="855"/>
      <c r="C21" s="851"/>
      <c r="D21" s="14"/>
      <c r="E21" s="14">
        <f>E20/C50</f>
        <v>2.3825544130449978E-2</v>
      </c>
      <c r="F21" s="14"/>
      <c r="G21" s="14"/>
      <c r="H21" s="14"/>
      <c r="I21" s="14"/>
      <c r="J21" s="14">
        <f>J20/C20</f>
        <v>1</v>
      </c>
    </row>
    <row r="22" spans="1:10" ht="20.100000000000001" customHeight="1">
      <c r="A22" s="854">
        <v>5</v>
      </c>
      <c r="B22" s="854" t="s">
        <v>67</v>
      </c>
      <c r="C22" s="850">
        <f>CEIM_SÃO_PEDRO!I55</f>
        <v>14534.56</v>
      </c>
      <c r="D22" s="13"/>
      <c r="E22" s="13">
        <v>7264.28</v>
      </c>
      <c r="F22" s="13">
        <v>7264.28</v>
      </c>
      <c r="G22" s="13"/>
      <c r="H22" s="13"/>
      <c r="I22" s="13"/>
      <c r="J22" s="13">
        <f>E22+F22+G22</f>
        <v>14528.56</v>
      </c>
    </row>
    <row r="23" spans="1:10" ht="20.100000000000001" customHeight="1">
      <c r="A23" s="855"/>
      <c r="B23" s="855"/>
      <c r="C23" s="865"/>
      <c r="D23" s="14"/>
      <c r="E23" s="14">
        <f>E22/C50</f>
        <v>2.2743455724246728E-2</v>
      </c>
      <c r="F23" s="14">
        <v>2.5399999999999999E-2</v>
      </c>
      <c r="G23" s="14"/>
      <c r="H23" s="14"/>
      <c r="I23" s="14"/>
      <c r="J23" s="14">
        <f>J22/C22</f>
        <v>0.99958719080591363</v>
      </c>
    </row>
    <row r="24" spans="1:10" ht="20.100000000000001" customHeight="1">
      <c r="A24" s="854">
        <v>6</v>
      </c>
      <c r="B24" s="854" t="s">
        <v>68</v>
      </c>
      <c r="C24" s="850">
        <f>CEIM_SÃO_PEDRO!I61</f>
        <v>2760.33</v>
      </c>
      <c r="D24" s="14"/>
      <c r="E24" s="14"/>
      <c r="F24" s="14"/>
      <c r="G24" s="14"/>
      <c r="H24" s="758">
        <v>2760.33</v>
      </c>
      <c r="I24" s="14"/>
      <c r="J24" s="13">
        <f>D24</f>
        <v>0</v>
      </c>
    </row>
    <row r="25" spans="1:10" ht="20.100000000000001" customHeight="1">
      <c r="A25" s="855"/>
      <c r="B25" s="855"/>
      <c r="C25" s="865"/>
      <c r="D25" s="14"/>
      <c r="E25" s="14"/>
      <c r="F25" s="14"/>
      <c r="G25" s="14"/>
      <c r="H25" s="14">
        <f>H24/C50</f>
        <v>8.6422113601499345E-3</v>
      </c>
      <c r="I25" s="14"/>
      <c r="J25" s="14">
        <f>J24/C24</f>
        <v>0</v>
      </c>
    </row>
    <row r="26" spans="1:10" ht="20.100000000000001" customHeight="1">
      <c r="A26" s="854">
        <v>7</v>
      </c>
      <c r="B26" s="854" t="s">
        <v>70</v>
      </c>
      <c r="C26" s="850">
        <f>CEIM_SÃO_PEDRO!I67</f>
        <v>21931.9</v>
      </c>
      <c r="D26" s="14"/>
      <c r="E26" s="14"/>
      <c r="F26" s="14"/>
      <c r="G26" s="14"/>
      <c r="H26" s="14"/>
      <c r="I26" s="757">
        <v>21931.9</v>
      </c>
      <c r="J26" s="13">
        <f>I26</f>
        <v>21931.9</v>
      </c>
    </row>
    <row r="27" spans="1:10" ht="20.100000000000001" customHeight="1">
      <c r="A27" s="855"/>
      <c r="B27" s="855"/>
      <c r="C27" s="865"/>
      <c r="D27" s="14"/>
      <c r="E27" s="14"/>
      <c r="F27" s="14"/>
      <c r="G27" s="14"/>
      <c r="H27" s="14"/>
      <c r="I27" s="14">
        <f>I26/C50</f>
        <v>6.8665744794887712E-2</v>
      </c>
      <c r="J27" s="14">
        <f>J26/C26</f>
        <v>1</v>
      </c>
    </row>
    <row r="28" spans="1:10" ht="20.100000000000001" customHeight="1">
      <c r="A28" s="854">
        <v>8</v>
      </c>
      <c r="B28" s="854" t="s">
        <v>71</v>
      </c>
      <c r="C28" s="850">
        <f>CEIM_SÃO_PEDRO!I75</f>
        <v>114937.3</v>
      </c>
      <c r="D28" s="757">
        <v>46185</v>
      </c>
      <c r="E28" s="757">
        <v>46185</v>
      </c>
      <c r="F28" s="14"/>
      <c r="G28" s="14"/>
      <c r="H28" s="14"/>
      <c r="I28" s="14"/>
      <c r="J28" s="13">
        <f>D28+E28</f>
        <v>92370</v>
      </c>
    </row>
    <row r="29" spans="1:10" ht="20.100000000000001" customHeight="1">
      <c r="A29" s="855"/>
      <c r="B29" s="855"/>
      <c r="C29" s="851"/>
      <c r="D29" s="14">
        <f>D28/C50</f>
        <v>0.1445988456700919</v>
      </c>
      <c r="E29" s="14">
        <f>E28/C50</f>
        <v>0.1445988456700919</v>
      </c>
      <c r="F29" s="14"/>
      <c r="G29" s="14"/>
      <c r="H29" s="14"/>
      <c r="I29" s="14"/>
      <c r="J29" s="14">
        <f>J28/C28</f>
        <v>0.80365555829134661</v>
      </c>
    </row>
    <row r="30" spans="1:10" ht="20.100000000000001" customHeight="1">
      <c r="A30" s="854">
        <v>9</v>
      </c>
      <c r="B30" s="854" t="s">
        <v>72</v>
      </c>
      <c r="C30" s="850">
        <f>CEIM_SÃO_PEDRO!I78</f>
        <v>8116.58</v>
      </c>
      <c r="D30" s="14"/>
      <c r="E30" s="14"/>
      <c r="F30" s="757">
        <v>4000</v>
      </c>
      <c r="G30" s="757">
        <v>4116.58</v>
      </c>
      <c r="H30" s="14"/>
      <c r="I30" s="14"/>
      <c r="J30" s="13">
        <f>D30+E30+F30+G30</f>
        <v>8116.58</v>
      </c>
    </row>
    <row r="31" spans="1:10" ht="20.100000000000001" customHeight="1">
      <c r="A31" s="855"/>
      <c r="B31" s="855"/>
      <c r="C31" s="851"/>
      <c r="D31" s="14"/>
      <c r="E31" s="14"/>
      <c r="F31" s="14">
        <f>F30/C50</f>
        <v>1.2523446631598302E-2</v>
      </c>
      <c r="G31" s="14">
        <f>G30/C50</f>
        <v>1.2888442483676234E-2</v>
      </c>
      <c r="H31" s="14"/>
      <c r="I31" s="14"/>
      <c r="J31" s="14">
        <f>J30/C30</f>
        <v>1</v>
      </c>
    </row>
    <row r="32" spans="1:10" ht="20.100000000000001" customHeight="1">
      <c r="A32" s="854">
        <v>10</v>
      </c>
      <c r="B32" s="854" t="s">
        <v>74</v>
      </c>
      <c r="C32" s="850">
        <f>CEIM_SÃO_PEDRO!I85</f>
        <v>19902.73</v>
      </c>
      <c r="D32" s="757"/>
      <c r="E32" s="757"/>
      <c r="F32" s="757">
        <v>9902.73</v>
      </c>
      <c r="G32" s="757">
        <v>10000</v>
      </c>
      <c r="H32" s="757"/>
      <c r="I32" s="14"/>
      <c r="J32" s="13">
        <f>D32+E32+F32+G32+H32+I32</f>
        <v>19902.73</v>
      </c>
    </row>
    <row r="33" spans="1:10" ht="20.100000000000001" customHeight="1">
      <c r="A33" s="855"/>
      <c r="B33" s="855"/>
      <c r="C33" s="851"/>
      <c r="D33" s="14"/>
      <c r="E33" s="14"/>
      <c r="F33" s="14">
        <f>F32/C50</f>
        <v>3.1004077665531864E-2</v>
      </c>
      <c r="G33" s="14">
        <f>G32/C50</f>
        <v>3.1308616578995759E-2</v>
      </c>
      <c r="H33" s="14"/>
      <c r="I33" s="14"/>
      <c r="J33" s="14">
        <f>J32/C32</f>
        <v>1</v>
      </c>
    </row>
    <row r="34" spans="1:10" ht="20.100000000000001" customHeight="1">
      <c r="A34" s="854">
        <v>11</v>
      </c>
      <c r="B34" s="854" t="s">
        <v>75</v>
      </c>
      <c r="C34" s="850">
        <f>CEIM_SÃO_PEDRO!I97</f>
        <v>16312.26</v>
      </c>
      <c r="D34" s="757"/>
      <c r="E34" s="757"/>
      <c r="F34" s="757"/>
      <c r="G34" s="757">
        <v>6312.26</v>
      </c>
      <c r="H34" s="757">
        <v>10000</v>
      </c>
      <c r="I34" s="757"/>
      <c r="J34" s="13">
        <f>D34+E34+F34+G34+H34</f>
        <v>16312.26</v>
      </c>
    </row>
    <row r="35" spans="1:10" ht="20.100000000000001" customHeight="1">
      <c r="A35" s="855"/>
      <c r="B35" s="855"/>
      <c r="C35" s="851"/>
      <c r="D35" s="14"/>
      <c r="E35" s="14"/>
      <c r="F35" s="14"/>
      <c r="G35" s="14">
        <f>G34/C50</f>
        <v>1.9762812808693176E-2</v>
      </c>
      <c r="H35" s="14">
        <f>H34/D50</f>
        <v>0.13849657809579669</v>
      </c>
      <c r="I35" s="14"/>
      <c r="J35" s="14">
        <f>J34/C34</f>
        <v>1</v>
      </c>
    </row>
    <row r="36" spans="1:10" ht="20.100000000000001" customHeight="1">
      <c r="A36" s="854">
        <v>12</v>
      </c>
      <c r="B36" s="854" t="s">
        <v>144</v>
      </c>
      <c r="C36" s="850">
        <f>CEIM_SÃO_PEDRO!I124</f>
        <v>5233.7700000000004</v>
      </c>
      <c r="D36" s="757"/>
      <c r="E36" s="757"/>
      <c r="F36" s="757"/>
      <c r="G36" s="757">
        <v>1707.62</v>
      </c>
      <c r="H36" s="757">
        <v>1707.62</v>
      </c>
      <c r="I36" s="757">
        <v>1707.62</v>
      </c>
      <c r="J36" s="13">
        <f>D36+E36+F36+G36+H36+I36</f>
        <v>5122.8599999999997</v>
      </c>
    </row>
    <row r="37" spans="1:10" ht="20.100000000000001" customHeight="1">
      <c r="A37" s="855"/>
      <c r="B37" s="855"/>
      <c r="C37" s="851"/>
      <c r="D37" s="14"/>
      <c r="E37" s="14"/>
      <c r="F37" s="14"/>
      <c r="G37" s="14">
        <f>G36/C50</f>
        <v>5.346321984262473E-3</v>
      </c>
      <c r="H37" s="14">
        <v>5.8999999999999999E-3</v>
      </c>
      <c r="I37" s="14">
        <v>5.8999999999999999E-3</v>
      </c>
      <c r="J37" s="14">
        <f>J36/C36</f>
        <v>0.97880877455447968</v>
      </c>
    </row>
    <row r="38" spans="1:10" ht="20.100000000000001" customHeight="1">
      <c r="A38" s="854">
        <v>13</v>
      </c>
      <c r="B38" s="854" t="s">
        <v>399</v>
      </c>
      <c r="C38" s="850">
        <f>CEIM_SÃO_PEDRO!I149</f>
        <v>18650.560000000001</v>
      </c>
      <c r="D38" s="758"/>
      <c r="E38" s="758">
        <v>560.79999999999995</v>
      </c>
      <c r="F38" s="758"/>
      <c r="G38" s="758">
        <v>3062.27</v>
      </c>
      <c r="H38" s="758">
        <v>3062.28</v>
      </c>
      <c r="I38" s="758">
        <v>2500</v>
      </c>
      <c r="J38" s="758">
        <f>D38+E38+F38+G38+H38+I38</f>
        <v>9185.35</v>
      </c>
    </row>
    <row r="39" spans="1:10" ht="20.100000000000001" customHeight="1">
      <c r="A39" s="855"/>
      <c r="B39" s="855"/>
      <c r="C39" s="851"/>
      <c r="D39" s="14"/>
      <c r="E39" s="14">
        <f>E38/C50</f>
        <v>1.7557872177500818E-3</v>
      </c>
      <c r="F39" s="14"/>
      <c r="G39" s="14">
        <f>G38/C50</f>
        <v>9.5875437291361339E-3</v>
      </c>
      <c r="H39" s="14">
        <f>H38/C50</f>
        <v>9.5875750377527134E-3</v>
      </c>
      <c r="I39" s="14">
        <f>I38/C50</f>
        <v>7.8271541447489396E-3</v>
      </c>
      <c r="J39" s="14">
        <f>J38/C38</f>
        <v>0.49249727622119654</v>
      </c>
    </row>
    <row r="40" spans="1:10" ht="20.100000000000001" customHeight="1">
      <c r="A40" s="854">
        <v>14</v>
      </c>
      <c r="B40" s="854" t="s">
        <v>145</v>
      </c>
      <c r="C40" s="850">
        <f>CEIM_SÃO_PEDRO!I162</f>
        <v>6328.03</v>
      </c>
      <c r="D40" s="758"/>
      <c r="E40" s="758"/>
      <c r="F40" s="758"/>
      <c r="G40" s="758"/>
      <c r="H40" s="758">
        <v>3000</v>
      </c>
      <c r="I40" s="758">
        <v>3328.03</v>
      </c>
      <c r="J40" s="758">
        <f>D40+E40+F40+G40+H40+I40</f>
        <v>6328.0300000000007</v>
      </c>
    </row>
    <row r="41" spans="1:10" ht="20.100000000000001" customHeight="1">
      <c r="A41" s="855"/>
      <c r="B41" s="855"/>
      <c r="C41" s="851"/>
      <c r="D41" s="14"/>
      <c r="E41" s="14"/>
      <c r="F41" s="14"/>
      <c r="G41" s="14"/>
      <c r="H41" s="14">
        <f>H40/C50</f>
        <v>9.3925849736987265E-3</v>
      </c>
      <c r="I41" s="14">
        <f>I40/D50</f>
        <v>4.6092076680015422E-2</v>
      </c>
      <c r="J41" s="14">
        <f>J40/C40</f>
        <v>1.0000000000000002</v>
      </c>
    </row>
    <row r="42" spans="1:10" ht="20.100000000000001" customHeight="1">
      <c r="A42" s="854">
        <v>15</v>
      </c>
      <c r="B42" s="854" t="s">
        <v>11</v>
      </c>
      <c r="C42" s="850">
        <f>CEIM_SÃO_PEDRO!I174</f>
        <v>47513.4</v>
      </c>
      <c r="D42" s="758"/>
      <c r="E42" s="758"/>
      <c r="F42" s="758"/>
      <c r="G42" s="758">
        <v>7513.4</v>
      </c>
      <c r="H42" s="758">
        <v>20000</v>
      </c>
      <c r="I42" s="758">
        <v>20000</v>
      </c>
      <c r="J42" s="758">
        <f>D42+E42+F42+G42+H42+I42</f>
        <v>47513.4</v>
      </c>
    </row>
    <row r="43" spans="1:10" ht="20.100000000000001" customHeight="1">
      <c r="A43" s="855"/>
      <c r="B43" s="855"/>
      <c r="C43" s="851"/>
      <c r="D43" s="14"/>
      <c r="E43" s="14"/>
      <c r="F43" s="14"/>
      <c r="G43" s="14">
        <f>G42/C50</f>
        <v>2.3523415980462668E-2</v>
      </c>
      <c r="H43" s="14">
        <f>H42/C50</f>
        <v>6.2617233157991517E-2</v>
      </c>
      <c r="I43" s="14">
        <f>I42/C50</f>
        <v>6.2617233157991517E-2</v>
      </c>
      <c r="J43" s="14">
        <f>J42/C42</f>
        <v>1</v>
      </c>
    </row>
    <row r="44" spans="1:10" ht="20.100000000000001" customHeight="1">
      <c r="A44" s="854">
        <v>16</v>
      </c>
      <c r="B44" s="854" t="s">
        <v>714</v>
      </c>
      <c r="C44" s="850">
        <f>CEIM_SÃO_PEDRO!I182</f>
        <v>3515.57</v>
      </c>
      <c r="D44" s="758"/>
      <c r="E44" s="758"/>
      <c r="F44" s="758"/>
      <c r="G44" s="758"/>
      <c r="H44" s="758">
        <v>1515.57</v>
      </c>
      <c r="I44" s="758">
        <v>2000</v>
      </c>
      <c r="J44" s="758">
        <f>D44+E44+F44+G44+H44+I44</f>
        <v>3515.5699999999997</v>
      </c>
    </row>
    <row r="45" spans="1:10" ht="20.100000000000001" customHeight="1">
      <c r="A45" s="855"/>
      <c r="B45" s="855"/>
      <c r="C45" s="851"/>
      <c r="D45" s="14"/>
      <c r="E45" s="14"/>
      <c r="F45" s="14"/>
      <c r="G45" s="14"/>
      <c r="H45" s="14">
        <f>H44/C50</f>
        <v>4.7450400028628591E-3</v>
      </c>
      <c r="I45" s="14">
        <f>I44/D50</f>
        <v>2.7699315619159334E-2</v>
      </c>
      <c r="J45" s="14">
        <f>J44/C44</f>
        <v>0.99999999999999989</v>
      </c>
    </row>
    <row r="46" spans="1:10" ht="20.100000000000001" customHeight="1">
      <c r="A46" s="854">
        <v>17</v>
      </c>
      <c r="B46" s="854" t="s">
        <v>79</v>
      </c>
      <c r="C46" s="850">
        <f>CEIM_SÃO_PEDRO!I187</f>
        <v>2349.12</v>
      </c>
      <c r="D46" s="758"/>
      <c r="E46" s="758"/>
      <c r="F46" s="758"/>
      <c r="G46" s="758"/>
      <c r="H46" s="758">
        <v>1000</v>
      </c>
      <c r="I46" s="758">
        <v>1349.12</v>
      </c>
      <c r="J46" s="758">
        <f>D46+E46+F46+G46+H46+I46</f>
        <v>2349.12</v>
      </c>
    </row>
    <row r="47" spans="1:10" ht="20.100000000000001" customHeight="1">
      <c r="A47" s="855"/>
      <c r="B47" s="855"/>
      <c r="C47" s="851"/>
      <c r="D47" s="14"/>
      <c r="E47" s="14"/>
      <c r="F47" s="14"/>
      <c r="G47" s="14"/>
      <c r="H47" s="14">
        <f>H46/C50</f>
        <v>3.1308616578995755E-3</v>
      </c>
      <c r="I47" s="14">
        <f>I46/D50</f>
        <v>1.868485034406012E-2</v>
      </c>
      <c r="J47" s="14">
        <f>J46/C46</f>
        <v>1</v>
      </c>
    </row>
    <row r="48" spans="1:10" ht="20.100000000000001" customHeight="1">
      <c r="A48" s="854">
        <v>18</v>
      </c>
      <c r="B48" s="854" t="s">
        <v>12</v>
      </c>
      <c r="C48" s="850">
        <v>2775.76</v>
      </c>
      <c r="D48" s="758"/>
      <c r="E48" s="758"/>
      <c r="F48" s="758"/>
      <c r="G48" s="758"/>
      <c r="H48" s="758"/>
      <c r="I48" s="758">
        <v>2775.76</v>
      </c>
      <c r="J48" s="758">
        <f>D48+E48+F48+G48+H48+I48</f>
        <v>2775.76</v>
      </c>
    </row>
    <row r="49" spans="1:10" ht="20.100000000000001" customHeight="1">
      <c r="A49" s="855"/>
      <c r="B49" s="855"/>
      <c r="C49" s="851"/>
      <c r="D49" s="14"/>
      <c r="E49" s="14"/>
      <c r="F49" s="14"/>
      <c r="G49" s="14"/>
      <c r="H49" s="14"/>
      <c r="I49" s="14">
        <f>I48/C50</f>
        <v>8.690520555531326E-3</v>
      </c>
      <c r="J49" s="14">
        <f>J48/C48</f>
        <v>1</v>
      </c>
    </row>
    <row r="50" spans="1:10" ht="20.100000000000001" customHeight="1">
      <c r="A50" s="862" t="s">
        <v>13</v>
      </c>
      <c r="B50" s="862"/>
      <c r="C50" s="863">
        <f>ROUNDDOWN(C12+C14+C16+C18+C20+C22+C24+C26+C28+C30+C32+C34+C36+C38+C40+C42+C44+C46+C48,2)</f>
        <v>319400.89</v>
      </c>
      <c r="D50" s="15">
        <f>SUM(D12+D14+D16+D18+D28)</f>
        <v>72203.950000000012</v>
      </c>
      <c r="E50" s="15">
        <f>SUM(E12+E14+E16+E18+E20+E22+E24+E26+E28+E38)</f>
        <v>62530.15</v>
      </c>
      <c r="F50" s="15">
        <f>SUM(F12+F14+F16+F18+F20+F22+F30+F32)</f>
        <v>21167.01</v>
      </c>
      <c r="G50" s="15">
        <f>SUM(G12+G14+G16+G18+G20+G22+G24+G26+G28+G30+G32+G34+G36+G38+G42)</f>
        <v>32712.129999999997</v>
      </c>
      <c r="H50" s="15">
        <f>SUM(H12+H14+H16+H18+H20+H22+H24+H26+H28+H30+H32+H34+H36+H38+H40+H42+H44+H46)</f>
        <v>43045.799999999996</v>
      </c>
      <c r="I50" s="15">
        <f>SUM(I12+I14+I16+I18+I20+I22+I24+I26+I28+I30+I32+I34+I36+I38+I40+I42+I44+I46+I48)</f>
        <v>55592.430000000008</v>
      </c>
      <c r="J50" s="15">
        <f t="shared" ref="J50" si="0">SUM(J12+J14+J16+J18+J20+J22)</f>
        <v>49067.58</v>
      </c>
    </row>
    <row r="51" spans="1:10" ht="20.100000000000001" customHeight="1">
      <c r="A51" s="862"/>
      <c r="B51" s="862"/>
      <c r="C51" s="864"/>
      <c r="D51" s="16">
        <f>D50/$C$50</f>
        <v>0.22606057860389808</v>
      </c>
      <c r="E51" s="16">
        <f t="shared" ref="E51:I51" si="1">E50/$C$50</f>
        <v>0.19577324909770916</v>
      </c>
      <c r="F51" s="16">
        <f t="shared" si="1"/>
        <v>6.6270980021376893E-2</v>
      </c>
      <c r="G51" s="16">
        <f t="shared" si="1"/>
        <v>0.10241715356522643</v>
      </c>
      <c r="H51" s="16">
        <f t="shared" si="1"/>
        <v>0.13477044475361352</v>
      </c>
      <c r="I51" s="16">
        <f t="shared" si="1"/>
        <v>0.17405220755646611</v>
      </c>
      <c r="J51" s="16">
        <f>SUM(D51:I51)</f>
        <v>0.89934461359829021</v>
      </c>
    </row>
  </sheetData>
  <mergeCells count="81">
    <mergeCell ref="C42:C43"/>
    <mergeCell ref="C46:C47"/>
    <mergeCell ref="C48:C49"/>
    <mergeCell ref="B42:B43"/>
    <mergeCell ref="B46:B47"/>
    <mergeCell ref="B48:B49"/>
    <mergeCell ref="B44:B45"/>
    <mergeCell ref="C44:C45"/>
    <mergeCell ref="C30:C31"/>
    <mergeCell ref="C32:C33"/>
    <mergeCell ref="C34:C35"/>
    <mergeCell ref="C36:C37"/>
    <mergeCell ref="C38:C39"/>
    <mergeCell ref="A42:A43"/>
    <mergeCell ref="A46:A47"/>
    <mergeCell ref="A48:A49"/>
    <mergeCell ref="B30:B31"/>
    <mergeCell ref="B32:B33"/>
    <mergeCell ref="B34:B35"/>
    <mergeCell ref="B36:B37"/>
    <mergeCell ref="B38:B39"/>
    <mergeCell ref="B40:B41"/>
    <mergeCell ref="A30:A31"/>
    <mergeCell ref="A32:A33"/>
    <mergeCell ref="A34:A35"/>
    <mergeCell ref="A36:A37"/>
    <mergeCell ref="A38:A39"/>
    <mergeCell ref="A40:A41"/>
    <mergeCell ref="A44:A45"/>
    <mergeCell ref="A6:J6"/>
    <mergeCell ref="A24:A25"/>
    <mergeCell ref="A26:A27"/>
    <mergeCell ref="C14:C15"/>
    <mergeCell ref="A16:A17"/>
    <mergeCell ref="B16:B17"/>
    <mergeCell ref="C16:C17"/>
    <mergeCell ref="C18:C19"/>
    <mergeCell ref="A14:A15"/>
    <mergeCell ref="B18:B19"/>
    <mergeCell ref="A18:A19"/>
    <mergeCell ref="G10:G11"/>
    <mergeCell ref="H10:H11"/>
    <mergeCell ref="I10:I11"/>
    <mergeCell ref="A12:A13"/>
    <mergeCell ref="B12:B13"/>
    <mergeCell ref="A50:B51"/>
    <mergeCell ref="C50:C51"/>
    <mergeCell ref="A20:A21"/>
    <mergeCell ref="B20:B21"/>
    <mergeCell ref="C20:C21"/>
    <mergeCell ref="A22:A23"/>
    <mergeCell ref="B22:B23"/>
    <mergeCell ref="C22:C23"/>
    <mergeCell ref="A28:A29"/>
    <mergeCell ref="B24:B25"/>
    <mergeCell ref="B26:B27"/>
    <mergeCell ref="B28:B29"/>
    <mergeCell ref="C24:C25"/>
    <mergeCell ref="C26:C27"/>
    <mergeCell ref="C28:C29"/>
    <mergeCell ref="C40:C41"/>
    <mergeCell ref="C12:C13"/>
    <mergeCell ref="E10:E11"/>
    <mergeCell ref="B14:B15"/>
    <mergeCell ref="J10:J11"/>
    <mergeCell ref="A7:J7"/>
    <mergeCell ref="A8:J8"/>
    <mergeCell ref="A9:J9"/>
    <mergeCell ref="A10:A11"/>
    <mergeCell ref="B10:B11"/>
    <mergeCell ref="C10:C11"/>
    <mergeCell ref="D10:D11"/>
    <mergeCell ref="F10:F11"/>
    <mergeCell ref="A5:H5"/>
    <mergeCell ref="L1:R1"/>
    <mergeCell ref="L2:R2"/>
    <mergeCell ref="L3:R3"/>
    <mergeCell ref="L4:R4"/>
    <mergeCell ref="A1:B4"/>
    <mergeCell ref="I1:J4"/>
    <mergeCell ref="C1:H4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r:id="rId1"/>
  <drawing r:id="rId2"/>
  <legacyDrawing r:id="rId3"/>
  <oleObjects>
    <oleObject shapeId="9867" r:id="rId4"/>
  </oleObjects>
</worksheet>
</file>

<file path=xl/worksheets/sheet4.xml><?xml version="1.0" encoding="utf-8"?>
<worksheet xmlns="http://schemas.openxmlformats.org/spreadsheetml/2006/main" xmlns:r="http://schemas.openxmlformats.org/officeDocument/2006/relationships">
  <dimension ref="A1:M871"/>
  <sheetViews>
    <sheetView view="pageBreakPreview" zoomScale="150" zoomScaleSheetLayoutView="150" workbookViewId="0">
      <selection activeCell="B864" sqref="B864"/>
    </sheetView>
  </sheetViews>
  <sheetFormatPr defaultRowHeight="12.75"/>
  <cols>
    <col min="1" max="1" width="13.85546875" style="145" customWidth="1"/>
    <col min="2" max="2" width="19.42578125" style="146" customWidth="1"/>
    <col min="3" max="3" width="10.85546875" style="146" customWidth="1"/>
    <col min="4" max="4" width="12" style="146" customWidth="1"/>
    <col min="5" max="5" width="10.5703125" style="146" bestFit="1" customWidth="1"/>
    <col min="6" max="6" width="10.85546875" style="146" customWidth="1"/>
    <col min="7" max="16384" width="9.140625" style="69"/>
  </cols>
  <sheetData>
    <row r="1" spans="1:6" ht="58.5" customHeight="1">
      <c r="A1" s="305" t="s">
        <v>189</v>
      </c>
      <c r="B1" s="1008" t="s">
        <v>362</v>
      </c>
      <c r="C1" s="1009"/>
      <c r="D1" s="1009"/>
      <c r="E1" s="1002"/>
      <c r="F1" s="1003"/>
    </row>
    <row r="2" spans="1:6" ht="15.75" customHeight="1">
      <c r="A2" s="1016" t="s">
        <v>115</v>
      </c>
      <c r="B2" s="1017"/>
      <c r="C2" s="1017"/>
      <c r="D2" s="1017"/>
      <c r="E2" s="1019" t="s">
        <v>116</v>
      </c>
      <c r="F2" s="1020"/>
    </row>
    <row r="3" spans="1:6">
      <c r="A3" s="1016"/>
      <c r="B3" s="1017"/>
      <c r="C3" s="1017"/>
      <c r="D3" s="1017"/>
      <c r="E3" s="1021">
        <v>42195</v>
      </c>
      <c r="F3" s="1022"/>
    </row>
    <row r="4" spans="1:6">
      <c r="A4" s="1023" t="s">
        <v>149</v>
      </c>
      <c r="B4" s="1024"/>
      <c r="C4" s="1024"/>
      <c r="D4" s="1025"/>
      <c r="E4" s="1026" t="s">
        <v>117</v>
      </c>
      <c r="F4" s="1027"/>
    </row>
    <row r="5" spans="1:6">
      <c r="A5" s="1010" t="s">
        <v>419</v>
      </c>
      <c r="B5" s="1011"/>
      <c r="C5" s="1011"/>
      <c r="D5" s="1011"/>
      <c r="E5" s="1011"/>
      <c r="F5" s="1012"/>
    </row>
    <row r="6" spans="1:6" ht="13.5" thickBot="1">
      <c r="A6" s="1013" t="s">
        <v>420</v>
      </c>
      <c r="B6" s="1014"/>
      <c r="C6" s="1014"/>
      <c r="D6" s="1014"/>
      <c r="E6" s="1014"/>
      <c r="F6" s="1015"/>
    </row>
    <row r="7" spans="1:6" s="72" customFormat="1" ht="13.5" thickBot="1">
      <c r="A7" s="70" t="s">
        <v>20</v>
      </c>
      <c r="B7" s="1018" t="s">
        <v>21</v>
      </c>
      <c r="C7" s="1018"/>
      <c r="D7" s="1018"/>
      <c r="E7" s="304" t="s">
        <v>22</v>
      </c>
      <c r="F7" s="71" t="s">
        <v>23</v>
      </c>
    </row>
    <row r="8" spans="1:6" s="72" customFormat="1" ht="13.5" thickBot="1">
      <c r="A8" s="73">
        <v>1</v>
      </c>
      <c r="B8" s="890" t="s">
        <v>4</v>
      </c>
      <c r="C8" s="891"/>
      <c r="D8" s="891"/>
      <c r="E8" s="891"/>
      <c r="F8" s="892"/>
    </row>
    <row r="9" spans="1:6" s="72" customFormat="1" ht="26.25" customHeight="1" thickBot="1">
      <c r="A9" s="74">
        <v>10203</v>
      </c>
      <c r="B9" s="893" t="s">
        <v>200</v>
      </c>
      <c r="C9" s="894"/>
      <c r="D9" s="895"/>
      <c r="E9" s="75" t="s">
        <v>134</v>
      </c>
      <c r="F9" s="76">
        <f>E11</f>
        <v>12.5</v>
      </c>
    </row>
    <row r="10" spans="1:6" s="72" customFormat="1" ht="12.75" customHeight="1">
      <c r="A10" s="309"/>
      <c r="B10" s="128" t="s">
        <v>119</v>
      </c>
      <c r="C10" s="77" t="s">
        <v>120</v>
      </c>
      <c r="D10" s="77" t="s">
        <v>130</v>
      </c>
      <c r="E10" s="117" t="s">
        <v>13</v>
      </c>
      <c r="F10" s="306"/>
    </row>
    <row r="11" spans="1:6" s="72" customFormat="1" ht="14.25" customHeight="1" thickBot="1">
      <c r="A11" s="307"/>
      <c r="B11" s="209" t="s">
        <v>432</v>
      </c>
      <c r="C11" s="152">
        <v>4.21</v>
      </c>
      <c r="D11" s="152">
        <v>2.97</v>
      </c>
      <c r="E11" s="152">
        <f>ROUNDDOWN(D11*C11,2)</f>
        <v>12.5</v>
      </c>
      <c r="F11" s="308"/>
    </row>
    <row r="12" spans="1:6" s="72" customFormat="1" ht="27.75" customHeight="1" thickBot="1">
      <c r="A12" s="74" t="s">
        <v>203</v>
      </c>
      <c r="B12" s="893" t="s">
        <v>202</v>
      </c>
      <c r="C12" s="894"/>
      <c r="D12" s="895"/>
      <c r="E12" s="75" t="s">
        <v>118</v>
      </c>
      <c r="F12" s="76">
        <f>ROUNDDOWN(F14+F15+F16+F17+F18+F19+F20+F21+F22+F23+F24+F25+F26+F27+F28+F29,2)</f>
        <v>6.17</v>
      </c>
    </row>
    <row r="13" spans="1:6" s="72" customFormat="1">
      <c r="A13" s="455"/>
      <c r="B13" s="128" t="s">
        <v>119</v>
      </c>
      <c r="C13" s="77" t="s">
        <v>120</v>
      </c>
      <c r="D13" s="77" t="s">
        <v>121</v>
      </c>
      <c r="E13" s="77" t="s">
        <v>126</v>
      </c>
      <c r="F13" s="77" t="s">
        <v>23</v>
      </c>
    </row>
    <row r="14" spans="1:6" s="72" customFormat="1">
      <c r="A14" s="302"/>
      <c r="B14" s="369" t="s">
        <v>433</v>
      </c>
      <c r="C14" s="79">
        <v>8.4600000000000009</v>
      </c>
      <c r="D14" s="153">
        <v>0.13</v>
      </c>
      <c r="E14" s="153">
        <v>2.29</v>
      </c>
      <c r="F14" s="80">
        <f t="shared" ref="F14:F23" si="0">ROUNDDOWN(C14*D14*E14,2)</f>
        <v>2.5099999999999998</v>
      </c>
    </row>
    <row r="15" spans="1:6" s="72" customFormat="1">
      <c r="A15" s="302"/>
      <c r="B15" s="456" t="s">
        <v>447</v>
      </c>
      <c r="C15" s="214">
        <v>2.81</v>
      </c>
      <c r="D15" s="208">
        <v>0.13</v>
      </c>
      <c r="E15" s="208">
        <v>0.57999999999999996</v>
      </c>
      <c r="F15" s="88">
        <f t="shared" si="0"/>
        <v>0.21</v>
      </c>
    </row>
    <row r="16" spans="1:6" s="72" customFormat="1" ht="25.5">
      <c r="A16" s="454" t="s">
        <v>510</v>
      </c>
      <c r="B16" s="453" t="s">
        <v>449</v>
      </c>
      <c r="C16" s="154">
        <f>2-1.04</f>
        <v>0.96</v>
      </c>
      <c r="D16" s="207">
        <v>0.13</v>
      </c>
      <c r="E16" s="207">
        <v>1.1000000000000001</v>
      </c>
      <c r="F16" s="88">
        <f t="shared" si="0"/>
        <v>0.13</v>
      </c>
    </row>
    <row r="17" spans="1:6" s="72" customFormat="1">
      <c r="A17" s="1007" t="s">
        <v>489</v>
      </c>
      <c r="B17" s="453" t="s">
        <v>449</v>
      </c>
      <c r="C17" s="154">
        <f>2-1.04</f>
        <v>0.96</v>
      </c>
      <c r="D17" s="207">
        <v>0.13</v>
      </c>
      <c r="E17" s="207">
        <v>1.1000000000000001</v>
      </c>
      <c r="F17" s="88">
        <f t="shared" si="0"/>
        <v>0.13</v>
      </c>
    </row>
    <row r="18" spans="1:6" s="72" customFormat="1">
      <c r="A18" s="1007"/>
      <c r="B18" s="453" t="s">
        <v>199</v>
      </c>
      <c r="C18" s="207">
        <v>2</v>
      </c>
      <c r="D18" s="120">
        <v>0.13</v>
      </c>
      <c r="E18" s="207">
        <v>1.1000000000000001</v>
      </c>
      <c r="F18" s="88">
        <f t="shared" si="0"/>
        <v>0.28000000000000003</v>
      </c>
    </row>
    <row r="19" spans="1:6" s="72" customFormat="1">
      <c r="A19" s="454" t="s">
        <v>198</v>
      </c>
      <c r="B19" s="453" t="s">
        <v>199</v>
      </c>
      <c r="C19" s="154">
        <f>2-1.04</f>
        <v>0.96</v>
      </c>
      <c r="D19" s="207">
        <v>0.13</v>
      </c>
      <c r="E19" s="207">
        <v>1.1000000000000001</v>
      </c>
      <c r="F19" s="88">
        <f t="shared" si="0"/>
        <v>0.13</v>
      </c>
    </row>
    <row r="20" spans="1:6" s="72" customFormat="1">
      <c r="A20" s="454" t="s">
        <v>490</v>
      </c>
      <c r="B20" s="453" t="s">
        <v>199</v>
      </c>
      <c r="C20" s="154">
        <f>2-1.04</f>
        <v>0.96</v>
      </c>
      <c r="D20" s="207">
        <v>0.13</v>
      </c>
      <c r="E20" s="207">
        <v>1.1000000000000001</v>
      </c>
      <c r="F20" s="80">
        <f t="shared" si="0"/>
        <v>0.13</v>
      </c>
    </row>
    <row r="21" spans="1:6" s="72" customFormat="1">
      <c r="A21" s="531" t="s">
        <v>471</v>
      </c>
      <c r="B21" s="457" t="s">
        <v>454</v>
      </c>
      <c r="C21" s="208">
        <v>2.4</v>
      </c>
      <c r="D21" s="208">
        <v>0.13</v>
      </c>
      <c r="E21" s="208">
        <v>3</v>
      </c>
      <c r="F21" s="88">
        <f t="shared" si="0"/>
        <v>0.93</v>
      </c>
    </row>
    <row r="22" spans="1:6" s="72" customFormat="1">
      <c r="A22" s="1028" t="s">
        <v>469</v>
      </c>
      <c r="B22" s="453" t="s">
        <v>449</v>
      </c>
      <c r="C22" s="207">
        <f>1.16*2</f>
        <v>2.3199999999999998</v>
      </c>
      <c r="D22" s="207">
        <v>0.13</v>
      </c>
      <c r="E22" s="207">
        <v>1.1000000000000001</v>
      </c>
      <c r="F22" s="88">
        <f t="shared" si="0"/>
        <v>0.33</v>
      </c>
    </row>
    <row r="23" spans="1:6" s="72" customFormat="1">
      <c r="A23" s="1029"/>
      <c r="B23" s="453" t="s">
        <v>454</v>
      </c>
      <c r="C23" s="207">
        <f>1.6-0.84</f>
        <v>0.76000000000000012</v>
      </c>
      <c r="D23" s="207">
        <v>0.13</v>
      </c>
      <c r="E23" s="207">
        <v>1.1000000000000001</v>
      </c>
      <c r="F23" s="88">
        <f t="shared" si="0"/>
        <v>0.1</v>
      </c>
    </row>
    <row r="24" spans="1:6" s="72" customFormat="1">
      <c r="A24" s="1028" t="s">
        <v>470</v>
      </c>
      <c r="B24" s="453" t="s">
        <v>449</v>
      </c>
      <c r="C24" s="207">
        <f>1.16*2</f>
        <v>2.3199999999999998</v>
      </c>
      <c r="D24" s="207">
        <v>0.13</v>
      </c>
      <c r="E24" s="207">
        <v>1.1000000000000001</v>
      </c>
      <c r="F24" s="88">
        <f t="shared" ref="F24:F25" si="1">ROUNDDOWN(C24*D24*E24,2)</f>
        <v>0.33</v>
      </c>
    </row>
    <row r="25" spans="1:6" s="72" customFormat="1">
      <c r="A25" s="1029"/>
      <c r="B25" s="453" t="s">
        <v>454</v>
      </c>
      <c r="C25" s="207">
        <f>1.6-0.84</f>
        <v>0.76000000000000012</v>
      </c>
      <c r="D25" s="207">
        <v>0.13</v>
      </c>
      <c r="E25" s="207">
        <v>1.1000000000000001</v>
      </c>
      <c r="F25" s="88">
        <f t="shared" si="1"/>
        <v>0.1</v>
      </c>
    </row>
    <row r="26" spans="1:6" s="72" customFormat="1" ht="15" customHeight="1">
      <c r="A26" s="1028" t="s">
        <v>152</v>
      </c>
      <c r="B26" s="453" t="s">
        <v>199</v>
      </c>
      <c r="C26" s="207">
        <f>1.16*2</f>
        <v>2.3199999999999998</v>
      </c>
      <c r="D26" s="207">
        <v>0.13</v>
      </c>
      <c r="E26" s="207">
        <v>1.1000000000000001</v>
      </c>
      <c r="F26" s="88">
        <f t="shared" ref="F26" si="2">ROUNDDOWN(C26*D26*E26,2)</f>
        <v>0.33</v>
      </c>
    </row>
    <row r="27" spans="1:6" s="72" customFormat="1">
      <c r="A27" s="1029"/>
      <c r="B27" s="453" t="s">
        <v>454</v>
      </c>
      <c r="C27" s="207">
        <f>1.6-0.84</f>
        <v>0.76000000000000012</v>
      </c>
      <c r="D27" s="207">
        <v>0.13</v>
      </c>
      <c r="E27" s="207">
        <v>1.1000000000000001</v>
      </c>
      <c r="F27" s="88">
        <f t="shared" ref="F27:F28" si="3">ROUNDDOWN(C27*D27*E27,2)</f>
        <v>0.1</v>
      </c>
    </row>
    <row r="28" spans="1:6" s="72" customFormat="1">
      <c r="A28" s="1028" t="s">
        <v>197</v>
      </c>
      <c r="B28" s="453" t="s">
        <v>199</v>
      </c>
      <c r="C28" s="207">
        <f>1.16*2</f>
        <v>2.3199999999999998</v>
      </c>
      <c r="D28" s="207">
        <v>0.13</v>
      </c>
      <c r="E28" s="207">
        <v>1.1000000000000001</v>
      </c>
      <c r="F28" s="88">
        <f t="shared" si="3"/>
        <v>0.33</v>
      </c>
    </row>
    <row r="29" spans="1:6" s="72" customFormat="1" ht="13.5" thickBot="1">
      <c r="A29" s="1029"/>
      <c r="B29" s="453" t="s">
        <v>454</v>
      </c>
      <c r="C29" s="207">
        <f>1.6-0.84</f>
        <v>0.76000000000000012</v>
      </c>
      <c r="D29" s="207">
        <v>0.13</v>
      </c>
      <c r="E29" s="207">
        <v>1.1000000000000001</v>
      </c>
      <c r="F29" s="88">
        <f t="shared" ref="F29" si="4">ROUNDDOWN(C29*D29*E29,2)</f>
        <v>0.1</v>
      </c>
    </row>
    <row r="30" spans="1:6" s="81" customFormat="1" ht="13.5" thickBot="1">
      <c r="A30" s="74">
        <v>72231</v>
      </c>
      <c r="B30" s="90" t="s">
        <v>204</v>
      </c>
      <c r="C30" s="91"/>
      <c r="D30" s="91"/>
      <c r="E30" s="75" t="s">
        <v>134</v>
      </c>
      <c r="F30" s="76">
        <f>ROUNDDOWN(E32+E33+E34+E35+E36+E37+E38+E39,2)</f>
        <v>449.18</v>
      </c>
    </row>
    <row r="31" spans="1:6" s="81" customFormat="1" ht="15" customHeight="1">
      <c r="A31" s="973" t="s">
        <v>119</v>
      </c>
      <c r="B31" s="902"/>
      <c r="C31" s="674" t="s">
        <v>120</v>
      </c>
      <c r="D31" s="104" t="s">
        <v>130</v>
      </c>
      <c r="E31" s="671" t="s">
        <v>13</v>
      </c>
      <c r="F31" s="101"/>
    </row>
    <row r="32" spans="1:6" s="81" customFormat="1" ht="12.75" customHeight="1">
      <c r="A32" s="981" t="s">
        <v>680</v>
      </c>
      <c r="B32" s="962"/>
      <c r="C32" s="1041" t="s">
        <v>140</v>
      </c>
      <c r="D32" s="1035"/>
      <c r="E32" s="88">
        <v>123.75</v>
      </c>
      <c r="F32" s="78"/>
    </row>
    <row r="33" spans="1:6" s="81" customFormat="1" ht="26.25" customHeight="1">
      <c r="A33" s="884" t="s">
        <v>605</v>
      </c>
      <c r="B33" s="886"/>
      <c r="C33" s="1041" t="s">
        <v>140</v>
      </c>
      <c r="D33" s="1035"/>
      <c r="E33" s="88">
        <v>2.72</v>
      </c>
      <c r="F33" s="519"/>
    </row>
    <row r="34" spans="1:6" s="81" customFormat="1" ht="25.5" customHeight="1">
      <c r="A34" s="961" t="s">
        <v>681</v>
      </c>
      <c r="B34" s="962"/>
      <c r="C34" s="687">
        <v>10.48</v>
      </c>
      <c r="D34" s="80">
        <v>12.41</v>
      </c>
      <c r="E34" s="80">
        <f t="shared" ref="E34:E39" si="5">ROUNDDOWN(D34*C34,2)</f>
        <v>130.05000000000001</v>
      </c>
      <c r="F34" s="686"/>
    </row>
    <row r="35" spans="1:6" s="81" customFormat="1">
      <c r="A35" s="961" t="s">
        <v>682</v>
      </c>
      <c r="B35" s="962"/>
      <c r="C35" s="688">
        <v>4.4000000000000004</v>
      </c>
      <c r="D35" s="80">
        <v>5.76</v>
      </c>
      <c r="E35" s="80">
        <f t="shared" si="5"/>
        <v>25.34</v>
      </c>
      <c r="F35" s="686"/>
    </row>
    <row r="36" spans="1:6" s="81" customFormat="1">
      <c r="A36" s="935" t="s">
        <v>683</v>
      </c>
      <c r="B36" s="935"/>
      <c r="C36" s="687">
        <v>2.57</v>
      </c>
      <c r="D36" s="80">
        <v>6.75</v>
      </c>
      <c r="E36" s="80">
        <f t="shared" si="5"/>
        <v>17.34</v>
      </c>
      <c r="F36" s="686"/>
    </row>
    <row r="37" spans="1:6" s="81" customFormat="1">
      <c r="A37" s="961" t="s">
        <v>684</v>
      </c>
      <c r="B37" s="962"/>
      <c r="C37" s="687">
        <v>19.37</v>
      </c>
      <c r="D37" s="80">
        <v>7.18</v>
      </c>
      <c r="E37" s="80">
        <f t="shared" si="5"/>
        <v>139.07</v>
      </c>
      <c r="F37" s="686"/>
    </row>
    <row r="38" spans="1:6" s="81" customFormat="1" ht="15">
      <c r="A38" s="961" t="s">
        <v>685</v>
      </c>
      <c r="B38" s="963"/>
      <c r="C38" s="689">
        <v>3.27</v>
      </c>
      <c r="D38" s="88">
        <v>1.4</v>
      </c>
      <c r="E38" s="80">
        <f t="shared" si="5"/>
        <v>4.57</v>
      </c>
      <c r="F38" s="686"/>
    </row>
    <row r="39" spans="1:6" s="81" customFormat="1" ht="15.75" thickBot="1">
      <c r="A39" s="961" t="s">
        <v>686</v>
      </c>
      <c r="B39" s="963"/>
      <c r="C39" s="689">
        <v>4.53</v>
      </c>
      <c r="D39" s="88">
        <v>1.4</v>
      </c>
      <c r="E39" s="80">
        <f t="shared" si="5"/>
        <v>6.34</v>
      </c>
      <c r="F39" s="686"/>
    </row>
    <row r="40" spans="1:6" s="81" customFormat="1" ht="25.5" customHeight="1" thickBot="1">
      <c r="A40" s="74" t="s">
        <v>371</v>
      </c>
      <c r="B40" s="893" t="s">
        <v>370</v>
      </c>
      <c r="C40" s="894"/>
      <c r="D40" s="895"/>
      <c r="E40" s="75" t="s">
        <v>123</v>
      </c>
      <c r="F40" s="76">
        <f>D42</f>
        <v>87.98</v>
      </c>
    </row>
    <row r="41" spans="1:6" s="81" customFormat="1">
      <c r="A41" s="86"/>
      <c r="B41" s="901" t="s">
        <v>119</v>
      </c>
      <c r="C41" s="902"/>
      <c r="D41" s="678" t="s">
        <v>23</v>
      </c>
      <c r="E41" s="93"/>
      <c r="F41" s="89"/>
    </row>
    <row r="42" spans="1:6" s="81" customFormat="1" ht="13.5" thickBot="1">
      <c r="A42" s="94"/>
      <c r="B42" s="899" t="s">
        <v>434</v>
      </c>
      <c r="C42" s="900"/>
      <c r="D42" s="88">
        <v>87.98</v>
      </c>
      <c r="E42" s="87"/>
      <c r="F42" s="95"/>
    </row>
    <row r="43" spans="1:6" s="81" customFormat="1" ht="26.25" customHeight="1" thickBot="1">
      <c r="A43" s="74" t="s">
        <v>421</v>
      </c>
      <c r="B43" s="893" t="s">
        <v>422</v>
      </c>
      <c r="C43" s="894"/>
      <c r="D43" s="895"/>
      <c r="E43" s="75" t="s">
        <v>123</v>
      </c>
      <c r="F43" s="76">
        <f>ROUNDDOWN(E45+E46,2)</f>
        <v>15.88</v>
      </c>
    </row>
    <row r="44" spans="1:6" s="81" customFormat="1">
      <c r="A44" s="96"/>
      <c r="B44" s="77" t="s">
        <v>119</v>
      </c>
      <c r="C44" s="77" t="s">
        <v>148</v>
      </c>
      <c r="D44" s="77" t="s">
        <v>126</v>
      </c>
      <c r="E44" s="118" t="s">
        <v>13</v>
      </c>
      <c r="F44" s="85"/>
    </row>
    <row r="45" spans="1:6" s="81" customFormat="1" ht="13.5" customHeight="1">
      <c r="A45" s="105"/>
      <c r="B45" s="485" t="s">
        <v>433</v>
      </c>
      <c r="C45" s="80">
        <f>4.21+4.08+0.7</f>
        <v>8.9899999999999984</v>
      </c>
      <c r="D45" s="80">
        <v>1.63</v>
      </c>
      <c r="E45" s="106">
        <f>ROUNDDOWN(D45*C45,2)</f>
        <v>14.65</v>
      </c>
      <c r="F45" s="310"/>
    </row>
    <row r="46" spans="1:6" s="81" customFormat="1" ht="13.5" thickBot="1">
      <c r="A46" s="105"/>
      <c r="B46" s="485" t="s">
        <v>447</v>
      </c>
      <c r="C46" s="403">
        <v>2.0499999999999998</v>
      </c>
      <c r="D46" s="403">
        <v>0.6</v>
      </c>
      <c r="E46" s="106">
        <f>ROUNDDOWN(D46*C46,2)</f>
        <v>1.23</v>
      </c>
      <c r="F46" s="310"/>
    </row>
    <row r="47" spans="1:6" s="81" customFormat="1" ht="13.5" thickBot="1">
      <c r="A47" s="74">
        <v>85333</v>
      </c>
      <c r="B47" s="893" t="s">
        <v>423</v>
      </c>
      <c r="C47" s="894"/>
      <c r="D47" s="895"/>
      <c r="E47" s="75" t="s">
        <v>69</v>
      </c>
      <c r="F47" s="76">
        <v>5</v>
      </c>
    </row>
    <row r="48" spans="1:6" s="81" customFormat="1" ht="25.5">
      <c r="A48" s="973" t="s">
        <v>119</v>
      </c>
      <c r="B48" s="902"/>
      <c r="C48" s="677" t="s">
        <v>436</v>
      </c>
      <c r="D48" s="84" t="s">
        <v>437</v>
      </c>
      <c r="E48" s="108"/>
      <c r="F48" s="310"/>
    </row>
    <row r="49" spans="1:6" s="81" customFormat="1">
      <c r="A49" s="974" t="s">
        <v>438</v>
      </c>
      <c r="B49" s="975"/>
      <c r="C49" s="393">
        <v>1</v>
      </c>
      <c r="D49" s="393">
        <v>1</v>
      </c>
      <c r="E49" s="116"/>
      <c r="F49" s="105"/>
    </row>
    <row r="50" spans="1:6" s="81" customFormat="1">
      <c r="A50" s="974" t="s">
        <v>438</v>
      </c>
      <c r="B50" s="975"/>
      <c r="C50" s="393">
        <v>1</v>
      </c>
      <c r="D50" s="393">
        <v>1</v>
      </c>
      <c r="E50" s="116"/>
      <c r="F50" s="105"/>
    </row>
    <row r="51" spans="1:6" s="81" customFormat="1" ht="13.5" thickBot="1">
      <c r="A51" s="903" t="s">
        <v>435</v>
      </c>
      <c r="B51" s="904"/>
      <c r="C51" s="113">
        <v>1</v>
      </c>
      <c r="D51" s="113"/>
      <c r="E51" s="112"/>
      <c r="F51" s="87"/>
    </row>
    <row r="52" spans="1:6" s="81" customFormat="1" ht="13.5" thickBot="1">
      <c r="A52" s="74">
        <v>10208</v>
      </c>
      <c r="B52" s="893" t="s">
        <v>496</v>
      </c>
      <c r="C52" s="894"/>
      <c r="D52" s="895"/>
      <c r="E52" s="75" t="s">
        <v>69</v>
      </c>
      <c r="F52" s="76">
        <f>E54</f>
        <v>4</v>
      </c>
    </row>
    <row r="53" spans="1:6" s="81" customFormat="1">
      <c r="A53" s="364"/>
      <c r="B53" s="77" t="s">
        <v>119</v>
      </c>
      <c r="C53" s="77" t="s">
        <v>148</v>
      </c>
      <c r="D53" s="77" t="s">
        <v>126</v>
      </c>
      <c r="E53" s="118" t="s">
        <v>13</v>
      </c>
      <c r="F53" s="105"/>
    </row>
    <row r="54" spans="1:6" s="81" customFormat="1" ht="39" thickBot="1">
      <c r="A54" s="365"/>
      <c r="B54" s="206" t="s">
        <v>497</v>
      </c>
      <c r="C54" s="113">
        <v>4</v>
      </c>
      <c r="D54" s="113">
        <v>1</v>
      </c>
      <c r="E54" s="161">
        <f>D54*C54</f>
        <v>4</v>
      </c>
      <c r="F54" s="87"/>
    </row>
    <row r="55" spans="1:6" s="81" customFormat="1" ht="13.5" thickBot="1">
      <c r="A55" s="74">
        <v>72142</v>
      </c>
      <c r="B55" s="893" t="s">
        <v>504</v>
      </c>
      <c r="C55" s="894"/>
      <c r="D55" s="895"/>
      <c r="E55" s="75" t="s">
        <v>69</v>
      </c>
      <c r="F55" s="76">
        <f>C57+C58+C59+C60</f>
        <v>7</v>
      </c>
    </row>
    <row r="56" spans="1:6" s="81" customFormat="1">
      <c r="A56" s="364"/>
      <c r="B56" s="77" t="s">
        <v>119</v>
      </c>
      <c r="C56" s="444" t="s">
        <v>23</v>
      </c>
      <c r="D56" s="444"/>
      <c r="E56" s="116"/>
      <c r="F56" s="105"/>
    </row>
    <row r="57" spans="1:6" s="81" customFormat="1">
      <c r="A57" s="364"/>
      <c r="B57" s="363" t="s">
        <v>510</v>
      </c>
      <c r="C57" s="444">
        <v>1</v>
      </c>
      <c r="D57" s="444"/>
      <c r="E57" s="116"/>
      <c r="F57" s="105"/>
    </row>
    <row r="58" spans="1:6" s="81" customFormat="1">
      <c r="A58" s="364"/>
      <c r="B58" s="363" t="s">
        <v>489</v>
      </c>
      <c r="C58" s="444">
        <v>2</v>
      </c>
      <c r="D58" s="444"/>
      <c r="E58" s="116"/>
      <c r="F58" s="105"/>
    </row>
    <row r="59" spans="1:6" s="81" customFormat="1">
      <c r="A59" s="442"/>
      <c r="B59" s="206" t="s">
        <v>198</v>
      </c>
      <c r="C59" s="444">
        <v>2</v>
      </c>
      <c r="D59" s="113"/>
      <c r="E59" s="112"/>
      <c r="F59" s="87"/>
    </row>
    <row r="60" spans="1:6" s="81" customFormat="1" ht="13.5" thickBot="1">
      <c r="A60" s="442"/>
      <c r="B60" s="206" t="s">
        <v>490</v>
      </c>
      <c r="C60" s="444">
        <v>2</v>
      </c>
      <c r="D60" s="113"/>
      <c r="E60" s="112"/>
      <c r="F60" s="87"/>
    </row>
    <row r="61" spans="1:6" s="81" customFormat="1" ht="13.5" thickBot="1">
      <c r="A61" s="74">
        <v>72143</v>
      </c>
      <c r="B61" s="893" t="s">
        <v>507</v>
      </c>
      <c r="C61" s="894"/>
      <c r="D61" s="895"/>
      <c r="E61" s="75" t="s">
        <v>69</v>
      </c>
      <c r="F61" s="76">
        <f>C63+C64+C65+C66</f>
        <v>7</v>
      </c>
    </row>
    <row r="62" spans="1:6" s="81" customFormat="1">
      <c r="A62" s="364"/>
      <c r="B62" s="77" t="s">
        <v>119</v>
      </c>
      <c r="C62" s="444" t="s">
        <v>388</v>
      </c>
      <c r="D62" s="444"/>
      <c r="E62" s="116"/>
      <c r="F62" s="105"/>
    </row>
    <row r="63" spans="1:6" s="81" customFormat="1">
      <c r="A63" s="364"/>
      <c r="B63" s="363" t="s">
        <v>510</v>
      </c>
      <c r="C63" s="444">
        <v>1</v>
      </c>
      <c r="D63" s="444"/>
      <c r="E63" s="116"/>
      <c r="F63" s="105"/>
    </row>
    <row r="64" spans="1:6" s="81" customFormat="1">
      <c r="A64" s="364"/>
      <c r="B64" s="206" t="s">
        <v>489</v>
      </c>
      <c r="C64" s="444">
        <v>2</v>
      </c>
      <c r="D64" s="444"/>
      <c r="E64" s="116"/>
      <c r="F64" s="105"/>
    </row>
    <row r="65" spans="1:6" s="81" customFormat="1">
      <c r="A65" s="364"/>
      <c r="B65" s="206" t="s">
        <v>198</v>
      </c>
      <c r="C65" s="444">
        <v>2</v>
      </c>
      <c r="D65" s="444"/>
      <c r="E65" s="116"/>
      <c r="F65" s="105"/>
    </row>
    <row r="66" spans="1:6" s="81" customFormat="1" ht="13.5" thickBot="1">
      <c r="A66" s="442"/>
      <c r="B66" s="206" t="s">
        <v>490</v>
      </c>
      <c r="C66" s="444">
        <v>2</v>
      </c>
      <c r="D66" s="113"/>
      <c r="E66" s="112"/>
      <c r="F66" s="87"/>
    </row>
    <row r="67" spans="1:6" s="81" customFormat="1" ht="27" customHeight="1" thickBot="1">
      <c r="A67" s="74">
        <v>10224</v>
      </c>
      <c r="B67" s="893" t="s">
        <v>509</v>
      </c>
      <c r="C67" s="894"/>
      <c r="D67" s="895"/>
      <c r="E67" s="75" t="s">
        <v>134</v>
      </c>
      <c r="F67" s="76">
        <f>ROUNDDOWN(E69+E70+E71+E72,2)</f>
        <v>13.23</v>
      </c>
    </row>
    <row r="68" spans="1:6" s="81" customFormat="1">
      <c r="A68" s="364"/>
      <c r="B68" s="77" t="s">
        <v>119</v>
      </c>
      <c r="C68" s="444" t="s">
        <v>148</v>
      </c>
      <c r="D68" s="444" t="s">
        <v>126</v>
      </c>
      <c r="E68" s="116" t="s">
        <v>13</v>
      </c>
      <c r="F68" s="105"/>
    </row>
    <row r="69" spans="1:6" s="81" customFormat="1" ht="25.5">
      <c r="A69" s="364"/>
      <c r="B69" s="363" t="s">
        <v>513</v>
      </c>
      <c r="C69" s="444">
        <v>1.1000000000000001</v>
      </c>
      <c r="D69" s="444">
        <v>1.18</v>
      </c>
      <c r="E69" s="681">
        <f>ROUNDDOWN(D69*C69,2)</f>
        <v>1.29</v>
      </c>
      <c r="F69" s="105"/>
    </row>
    <row r="70" spans="1:6" s="81" customFormat="1" ht="25.5">
      <c r="A70" s="364"/>
      <c r="B70" s="206" t="s">
        <v>514</v>
      </c>
      <c r="C70" s="444">
        <v>1.1000000000000001</v>
      </c>
      <c r="D70" s="444">
        <v>1.18</v>
      </c>
      <c r="E70" s="681">
        <f>ROUNDDOWN(D70*C70,2)</f>
        <v>1.29</v>
      </c>
      <c r="F70" s="105"/>
    </row>
    <row r="71" spans="1:6" s="81" customFormat="1">
      <c r="A71" s="364"/>
      <c r="B71" s="206" t="s">
        <v>511</v>
      </c>
      <c r="C71" s="957" t="s">
        <v>589</v>
      </c>
      <c r="D71" s="958"/>
      <c r="E71" s="116">
        <v>3.95</v>
      </c>
      <c r="F71" s="105"/>
    </row>
    <row r="72" spans="1:6" s="81" customFormat="1" ht="13.5" thickBot="1">
      <c r="A72" s="442"/>
      <c r="B72" s="206" t="s">
        <v>512</v>
      </c>
      <c r="C72" s="971" t="s">
        <v>589</v>
      </c>
      <c r="D72" s="972"/>
      <c r="E72" s="112">
        <f>3.79+2.91</f>
        <v>6.7</v>
      </c>
      <c r="F72" s="87"/>
    </row>
    <row r="73" spans="1:6" s="81" customFormat="1" ht="26.25" customHeight="1" thickBot="1">
      <c r="A73" s="74">
        <v>72227</v>
      </c>
      <c r="B73" s="968" t="s">
        <v>678</v>
      </c>
      <c r="C73" s="969"/>
      <c r="D73" s="970"/>
      <c r="E73" s="75" t="s">
        <v>134</v>
      </c>
      <c r="F73" s="76">
        <f>ROUNDDOWN(E75+E76+E77+E78+E80+E79+E81+E82,20)</f>
        <v>449.18</v>
      </c>
    </row>
    <row r="74" spans="1:6" s="81" customFormat="1">
      <c r="A74" s="973" t="s">
        <v>119</v>
      </c>
      <c r="B74" s="902"/>
      <c r="C74" s="674" t="s">
        <v>120</v>
      </c>
      <c r="D74" s="104" t="s">
        <v>130</v>
      </c>
      <c r="E74" s="671" t="s">
        <v>13</v>
      </c>
      <c r="F74" s="101"/>
    </row>
    <row r="75" spans="1:6" s="81" customFormat="1" ht="24.75" customHeight="1">
      <c r="A75" s="981" t="s">
        <v>680</v>
      </c>
      <c r="B75" s="962"/>
      <c r="C75" s="1041" t="s">
        <v>140</v>
      </c>
      <c r="D75" s="1035"/>
      <c r="E75" s="88">
        <v>123.75</v>
      </c>
      <c r="F75" s="78"/>
    </row>
    <row r="76" spans="1:6" s="81" customFormat="1">
      <c r="A76" s="884" t="s">
        <v>605</v>
      </c>
      <c r="B76" s="886"/>
      <c r="C76" s="1041" t="s">
        <v>140</v>
      </c>
      <c r="D76" s="1035"/>
      <c r="E76" s="88">
        <v>2.72</v>
      </c>
      <c r="F76" s="519"/>
    </row>
    <row r="77" spans="1:6" s="81" customFormat="1" ht="24.75" customHeight="1">
      <c r="A77" s="961" t="s">
        <v>681</v>
      </c>
      <c r="B77" s="962"/>
      <c r="C77" s="687">
        <v>10.48</v>
      </c>
      <c r="D77" s="80">
        <v>12.41</v>
      </c>
      <c r="E77" s="80">
        <f t="shared" ref="E77:E82" si="6">ROUNDDOWN(D77*C77,2)</f>
        <v>130.05000000000001</v>
      </c>
      <c r="F77" s="686"/>
    </row>
    <row r="78" spans="1:6" s="81" customFormat="1">
      <c r="A78" s="961" t="s">
        <v>682</v>
      </c>
      <c r="B78" s="962"/>
      <c r="C78" s="688">
        <v>4.4000000000000004</v>
      </c>
      <c r="D78" s="80">
        <v>5.76</v>
      </c>
      <c r="E78" s="80">
        <f t="shared" si="6"/>
        <v>25.34</v>
      </c>
      <c r="F78" s="686"/>
    </row>
    <row r="79" spans="1:6" s="81" customFormat="1">
      <c r="A79" s="935" t="s">
        <v>683</v>
      </c>
      <c r="B79" s="935"/>
      <c r="C79" s="687">
        <v>2.57</v>
      </c>
      <c r="D79" s="80">
        <v>6.75</v>
      </c>
      <c r="E79" s="80">
        <f t="shared" si="6"/>
        <v>17.34</v>
      </c>
      <c r="F79" s="686"/>
    </row>
    <row r="80" spans="1:6" s="81" customFormat="1" ht="40.5" customHeight="1">
      <c r="A80" s="961" t="s">
        <v>684</v>
      </c>
      <c r="B80" s="962"/>
      <c r="C80" s="687">
        <v>19.37</v>
      </c>
      <c r="D80" s="80">
        <v>7.18</v>
      </c>
      <c r="E80" s="80">
        <f t="shared" si="6"/>
        <v>139.07</v>
      </c>
      <c r="F80" s="686"/>
    </row>
    <row r="81" spans="1:6" s="81" customFormat="1" ht="15">
      <c r="A81" s="961" t="s">
        <v>685</v>
      </c>
      <c r="B81" s="963"/>
      <c r="C81" s="689">
        <v>3.27</v>
      </c>
      <c r="D81" s="88">
        <v>1.4</v>
      </c>
      <c r="E81" s="80">
        <f t="shared" si="6"/>
        <v>4.57</v>
      </c>
      <c r="F81" s="519"/>
    </row>
    <row r="82" spans="1:6" s="81" customFormat="1" ht="15.75" thickBot="1">
      <c r="A82" s="884" t="s">
        <v>686</v>
      </c>
      <c r="B82" s="976"/>
      <c r="C82" s="689">
        <v>4.53</v>
      </c>
      <c r="D82" s="88">
        <v>1.4</v>
      </c>
      <c r="E82" s="88">
        <f t="shared" si="6"/>
        <v>6.34</v>
      </c>
      <c r="F82" s="519"/>
    </row>
    <row r="83" spans="1:6" s="81" customFormat="1" ht="13.5" thickBot="1">
      <c r="A83" s="74">
        <v>72232</v>
      </c>
      <c r="B83" s="968" t="s">
        <v>679</v>
      </c>
      <c r="C83" s="969"/>
      <c r="D83" s="970"/>
      <c r="E83" s="75" t="s">
        <v>17</v>
      </c>
      <c r="F83" s="76">
        <f>ROUNDDOWN(D85+D86,2)</f>
        <v>43.33</v>
      </c>
    </row>
    <row r="84" spans="1:6" s="81" customFormat="1">
      <c r="A84" s="901" t="s">
        <v>119</v>
      </c>
      <c r="B84" s="902"/>
      <c r="C84" s="674" t="s">
        <v>120</v>
      </c>
      <c r="D84" s="118" t="s">
        <v>13</v>
      </c>
      <c r="E84" s="116"/>
      <c r="F84" s="105"/>
    </row>
    <row r="85" spans="1:6" s="81" customFormat="1" ht="25.5" customHeight="1">
      <c r="A85" s="981" t="s">
        <v>687</v>
      </c>
      <c r="B85" s="962"/>
      <c r="C85" s="687" t="s">
        <v>688</v>
      </c>
      <c r="D85" s="687">
        <f>2.49+2.49+3.39+3.39</f>
        <v>11.760000000000002</v>
      </c>
      <c r="E85" s="116"/>
      <c r="F85" s="105"/>
    </row>
    <row r="86" spans="1:6" s="81" customFormat="1" ht="27.75" customHeight="1" thickBot="1">
      <c r="A86" s="961" t="s">
        <v>681</v>
      </c>
      <c r="B86" s="962"/>
      <c r="C86" s="687" t="s">
        <v>688</v>
      </c>
      <c r="D86" s="687">
        <f>ROUNDDOWN((7.41*4)+1.93,2)</f>
        <v>31.57</v>
      </c>
      <c r="E86" s="116"/>
      <c r="F86" s="105"/>
    </row>
    <row r="87" spans="1:6" s="81" customFormat="1" ht="13.5" thickBot="1">
      <c r="A87" s="74">
        <v>72236</v>
      </c>
      <c r="B87" s="968" t="s">
        <v>704</v>
      </c>
      <c r="C87" s="969"/>
      <c r="D87" s="970"/>
      <c r="E87" s="75" t="s">
        <v>134</v>
      </c>
      <c r="F87" s="76">
        <f>ROUNDDOWN(E89+E90,2)</f>
        <v>55.9</v>
      </c>
    </row>
    <row r="88" spans="1:6" s="81" customFormat="1">
      <c r="A88" s="680"/>
      <c r="B88" s="678" t="s">
        <v>119</v>
      </c>
      <c r="C88" s="683" t="s">
        <v>148</v>
      </c>
      <c r="D88" s="683" t="s">
        <v>130</v>
      </c>
      <c r="E88" s="116" t="s">
        <v>13</v>
      </c>
      <c r="F88" s="105"/>
    </row>
    <row r="89" spans="1:6" s="81" customFormat="1">
      <c r="A89" s="680"/>
      <c r="B89" s="680" t="s">
        <v>152</v>
      </c>
      <c r="C89" s="687">
        <v>4.87</v>
      </c>
      <c r="D89" s="687">
        <v>5.77</v>
      </c>
      <c r="E89" s="116">
        <f>ROUNDDOWN(D89*C89,2)</f>
        <v>28.09</v>
      </c>
      <c r="F89" s="105"/>
    </row>
    <row r="90" spans="1:6" s="81" customFormat="1" ht="13.5" thickBot="1">
      <c r="A90" s="680"/>
      <c r="B90" s="680" t="s">
        <v>197</v>
      </c>
      <c r="C90" s="689">
        <v>4.82</v>
      </c>
      <c r="D90" s="687">
        <v>5.77</v>
      </c>
      <c r="E90" s="116">
        <f>ROUNDDOWN(D90*C90,2)</f>
        <v>27.81</v>
      </c>
      <c r="F90" s="105"/>
    </row>
    <row r="91" spans="1:6" s="81" customFormat="1" ht="26.25" customHeight="1" thickBot="1">
      <c r="A91" s="74">
        <v>72238</v>
      </c>
      <c r="B91" s="968" t="s">
        <v>706</v>
      </c>
      <c r="C91" s="969"/>
      <c r="D91" s="970"/>
      <c r="E91" s="75" t="s">
        <v>134</v>
      </c>
      <c r="F91" s="76">
        <f>ROUNDDOWN(E93+E94,2)</f>
        <v>56.67</v>
      </c>
    </row>
    <row r="92" spans="1:6" s="81" customFormat="1">
      <c r="A92" s="680"/>
      <c r="B92" s="678" t="s">
        <v>119</v>
      </c>
      <c r="C92" s="683" t="s">
        <v>148</v>
      </c>
      <c r="D92" s="683" t="s">
        <v>130</v>
      </c>
      <c r="E92" s="116" t="s">
        <v>13</v>
      </c>
      <c r="F92" s="105"/>
    </row>
    <row r="93" spans="1:6" s="81" customFormat="1">
      <c r="A93" s="680"/>
      <c r="B93" s="680" t="s">
        <v>469</v>
      </c>
      <c r="C93" s="687">
        <v>4.87</v>
      </c>
      <c r="D93" s="687">
        <v>5.85</v>
      </c>
      <c r="E93" s="116">
        <f>ROUNDDOWN(D93*C93,2)</f>
        <v>28.48</v>
      </c>
      <c r="F93" s="105"/>
    </row>
    <row r="94" spans="1:6" s="81" customFormat="1" ht="13.5" thickBot="1">
      <c r="A94" s="206"/>
      <c r="B94" s="206" t="s">
        <v>470</v>
      </c>
      <c r="C94" s="689">
        <v>4.82</v>
      </c>
      <c r="D94" s="689">
        <v>5.85</v>
      </c>
      <c r="E94" s="112">
        <f>ROUNDDOWN(D94*C94,2)</f>
        <v>28.19</v>
      </c>
      <c r="F94" s="87"/>
    </row>
    <row r="95" spans="1:6" s="81" customFormat="1" ht="13.5" thickBot="1">
      <c r="A95" s="70">
        <v>73616</v>
      </c>
      <c r="B95" s="887" t="s">
        <v>727</v>
      </c>
      <c r="C95" s="888"/>
      <c r="D95" s="889"/>
      <c r="E95" s="739" t="s">
        <v>118</v>
      </c>
      <c r="F95" s="71">
        <f>ROUNDDOWN(F97,2)</f>
        <v>5.48</v>
      </c>
    </row>
    <row r="96" spans="1:6" s="81" customFormat="1">
      <c r="A96" s="740"/>
      <c r="B96" s="118" t="s">
        <v>119</v>
      </c>
      <c r="C96" s="118" t="s">
        <v>148</v>
      </c>
      <c r="D96" s="118" t="s">
        <v>130</v>
      </c>
      <c r="E96" s="118" t="s">
        <v>126</v>
      </c>
      <c r="F96" s="141" t="s">
        <v>13</v>
      </c>
    </row>
    <row r="97" spans="1:6" s="81" customFormat="1" ht="13.5" thickBot="1">
      <c r="A97" s="740"/>
      <c r="B97" s="152" t="s">
        <v>728</v>
      </c>
      <c r="C97" s="523">
        <v>23.47</v>
      </c>
      <c r="D97" s="523">
        <v>1.67</v>
      </c>
      <c r="E97" s="523">
        <v>0.14000000000000001</v>
      </c>
      <c r="F97" s="726">
        <f>E97*D97*C97</f>
        <v>5.4872860000000001</v>
      </c>
    </row>
    <row r="98" spans="1:6" s="81" customFormat="1" ht="13.5" thickBot="1">
      <c r="A98" s="73">
        <v>2</v>
      </c>
      <c r="B98" s="890" t="s">
        <v>65</v>
      </c>
      <c r="C98" s="891"/>
      <c r="D98" s="891"/>
      <c r="E98" s="891"/>
      <c r="F98" s="892"/>
    </row>
    <row r="99" spans="1:6" s="81" customFormat="1" ht="27" customHeight="1" thickBot="1">
      <c r="A99" s="74" t="s">
        <v>205</v>
      </c>
      <c r="B99" s="871" t="s">
        <v>208</v>
      </c>
      <c r="C99" s="871"/>
      <c r="D99" s="871"/>
      <c r="E99" s="75" t="s">
        <v>134</v>
      </c>
      <c r="F99" s="76">
        <f>ROUNDDOWN(E102+E103+E104,2)</f>
        <v>45.91</v>
      </c>
    </row>
    <row r="100" spans="1:6" s="81" customFormat="1" ht="13.5" customHeight="1">
      <c r="A100" s="1090" t="s">
        <v>211</v>
      </c>
      <c r="B100" s="1091"/>
      <c r="C100" s="1091"/>
      <c r="D100" s="1092"/>
      <c r="E100" s="223"/>
      <c r="F100" s="312"/>
    </row>
    <row r="101" spans="1:6" s="81" customFormat="1" ht="13.5" customHeight="1">
      <c r="A101" s="1034" t="s">
        <v>119</v>
      </c>
      <c r="B101" s="1035"/>
      <c r="C101" s="110" t="s">
        <v>148</v>
      </c>
      <c r="D101" s="110" t="s">
        <v>126</v>
      </c>
      <c r="E101" s="110" t="s">
        <v>13</v>
      </c>
      <c r="F101" s="306"/>
    </row>
    <row r="102" spans="1:6" s="81" customFormat="1">
      <c r="A102" s="961" t="s">
        <v>440</v>
      </c>
      <c r="B102" s="962"/>
      <c r="C102" s="110">
        <v>2.97</v>
      </c>
      <c r="D102" s="110">
        <v>2.2000000000000002</v>
      </c>
      <c r="E102" s="404">
        <f>ROUNDDOWN(D102*C102,2)</f>
        <v>6.53</v>
      </c>
      <c r="F102" s="150"/>
    </row>
    <row r="103" spans="1:6" s="81" customFormat="1">
      <c r="A103" s="884" t="s">
        <v>439</v>
      </c>
      <c r="B103" s="886"/>
      <c r="C103" s="224">
        <v>2.6</v>
      </c>
      <c r="D103" s="300">
        <v>2.2000000000000002</v>
      </c>
      <c r="E103" s="224">
        <f>ROUNDDOWN(D103*C103,2)</f>
        <v>5.72</v>
      </c>
      <c r="F103" s="151"/>
    </row>
    <row r="104" spans="1:6" s="81" customFormat="1" ht="13.5" thickBot="1">
      <c r="A104" s="206"/>
      <c r="B104" s="206" t="s">
        <v>590</v>
      </c>
      <c r="C104" s="224">
        <v>15.3</v>
      </c>
      <c r="D104" s="300">
        <v>2.2000000000000002</v>
      </c>
      <c r="E104" s="224">
        <f>ROUNDDOWN(D104*C104,2)</f>
        <v>33.659999999999997</v>
      </c>
      <c r="F104" s="151"/>
    </row>
    <row r="105" spans="1:6" s="81" customFormat="1" ht="13.5" thickBot="1">
      <c r="A105" s="74" t="s">
        <v>206</v>
      </c>
      <c r="B105" s="871" t="s">
        <v>209</v>
      </c>
      <c r="C105" s="871"/>
      <c r="D105" s="871"/>
      <c r="E105" s="75" t="s">
        <v>123</v>
      </c>
      <c r="F105" s="76">
        <v>8</v>
      </c>
    </row>
    <row r="106" spans="1:6" s="81" customFormat="1" ht="14.25" customHeight="1" thickBot="1">
      <c r="A106" s="82"/>
      <c r="B106" s="977" t="s">
        <v>124</v>
      </c>
      <c r="C106" s="978"/>
      <c r="D106" s="979"/>
      <c r="E106" s="96"/>
      <c r="F106" s="85"/>
    </row>
    <row r="107" spans="1:6" s="81" customFormat="1" ht="27.75" customHeight="1" thickBot="1">
      <c r="A107" s="74" t="s">
        <v>207</v>
      </c>
      <c r="B107" s="893" t="s">
        <v>210</v>
      </c>
      <c r="C107" s="894"/>
      <c r="D107" s="895"/>
      <c r="E107" s="75" t="s">
        <v>123</v>
      </c>
      <c r="F107" s="76">
        <v>10</v>
      </c>
    </row>
    <row r="108" spans="1:6" s="81" customFormat="1" ht="13.5" thickBot="1">
      <c r="A108" s="86"/>
      <c r="B108" s="977" t="s">
        <v>125</v>
      </c>
      <c r="C108" s="978"/>
      <c r="D108" s="979"/>
      <c r="E108" s="93"/>
      <c r="F108" s="89"/>
    </row>
    <row r="109" spans="1:6" s="81" customFormat="1" ht="13.5" thickBot="1">
      <c r="A109" s="73">
        <v>3</v>
      </c>
      <c r="B109" s="890" t="s">
        <v>9</v>
      </c>
      <c r="C109" s="891"/>
      <c r="D109" s="891"/>
      <c r="E109" s="891"/>
      <c r="F109" s="892"/>
    </row>
    <row r="110" spans="1:6" s="81" customFormat="1" ht="13.5" thickBot="1">
      <c r="A110" s="147">
        <v>73447</v>
      </c>
      <c r="B110" s="942" t="s">
        <v>212</v>
      </c>
      <c r="C110" s="942"/>
      <c r="D110" s="942"/>
      <c r="E110" s="148" t="s">
        <v>118</v>
      </c>
      <c r="F110" s="149">
        <f>F113+F115</f>
        <v>18.3704</v>
      </c>
    </row>
    <row r="111" spans="1:6" s="81" customFormat="1">
      <c r="A111" s="551" t="s">
        <v>119</v>
      </c>
      <c r="B111" s="554" t="s">
        <v>120</v>
      </c>
      <c r="C111" s="554" t="s">
        <v>121</v>
      </c>
      <c r="D111" s="554" t="s">
        <v>122</v>
      </c>
      <c r="E111" s="554" t="s">
        <v>23</v>
      </c>
      <c r="F111" s="555" t="s">
        <v>13</v>
      </c>
    </row>
    <row r="112" spans="1:6" s="81" customFormat="1">
      <c r="A112" s="556" t="s">
        <v>619</v>
      </c>
      <c r="B112" s="557"/>
      <c r="C112" s="558"/>
      <c r="D112" s="558"/>
      <c r="E112" s="558"/>
      <c r="F112" s="559"/>
    </row>
    <row r="113" spans="1:11" s="81" customFormat="1">
      <c r="A113" s="560" t="s">
        <v>620</v>
      </c>
      <c r="B113" s="572">
        <v>0.8</v>
      </c>
      <c r="C113" s="573">
        <v>0.8</v>
      </c>
      <c r="D113" s="573">
        <v>1</v>
      </c>
      <c r="E113" s="573">
        <v>14</v>
      </c>
      <c r="F113" s="573">
        <f>B113*C113*D113*E113</f>
        <v>8.9600000000000009</v>
      </c>
    </row>
    <row r="114" spans="1:11" s="81" customFormat="1" ht="15" customHeight="1">
      <c r="A114" s="556" t="s">
        <v>623</v>
      </c>
      <c r="B114" s="565"/>
      <c r="C114" s="565"/>
      <c r="D114" s="566"/>
      <c r="E114" s="565"/>
      <c r="F114" s="567"/>
    </row>
    <row r="115" spans="1:11" s="81" customFormat="1" ht="13.5" thickBot="1">
      <c r="A115" s="560" t="s">
        <v>624</v>
      </c>
      <c r="B115" s="557">
        <v>52.28</v>
      </c>
      <c r="C115" s="568">
        <v>0.3</v>
      </c>
      <c r="D115" s="568">
        <v>0.6</v>
      </c>
      <c r="E115" s="568"/>
      <c r="F115" s="559">
        <f>B115*C115*D115</f>
        <v>9.4103999999999992</v>
      </c>
    </row>
    <row r="116" spans="1:11" s="81" customFormat="1" ht="51.75" customHeight="1" thickBot="1">
      <c r="A116" s="74">
        <v>5719</v>
      </c>
      <c r="B116" s="871" t="s">
        <v>213</v>
      </c>
      <c r="C116" s="871"/>
      <c r="D116" s="871"/>
      <c r="E116" s="75" t="s">
        <v>118</v>
      </c>
      <c r="F116" s="76">
        <f>D119</f>
        <v>15.25</v>
      </c>
    </row>
    <row r="117" spans="1:11" s="81" customFormat="1">
      <c r="A117" s="616"/>
      <c r="B117" s="1085" t="s">
        <v>636</v>
      </c>
      <c r="C117" s="1086"/>
      <c r="D117" s="617">
        <v>18.37</v>
      </c>
      <c r="E117" s="618"/>
      <c r="F117" s="619"/>
    </row>
    <row r="118" spans="1:11" s="81" customFormat="1">
      <c r="A118" s="584"/>
      <c r="B118" s="964" t="s">
        <v>637</v>
      </c>
      <c r="C118" s="965"/>
      <c r="D118" s="620">
        <v>3.12</v>
      </c>
      <c r="E118" s="621"/>
      <c r="F118" s="622"/>
    </row>
    <row r="119" spans="1:11" s="81" customFormat="1" ht="13.5" thickBot="1">
      <c r="A119" s="623"/>
      <c r="B119" s="966" t="s">
        <v>638</v>
      </c>
      <c r="C119" s="967"/>
      <c r="D119" s="624">
        <f>D117-D118</f>
        <v>15.25</v>
      </c>
      <c r="E119" s="625"/>
      <c r="F119" s="626"/>
    </row>
    <row r="120" spans="1:11" s="81" customFormat="1" ht="13.5" thickBot="1">
      <c r="A120" s="73">
        <v>4</v>
      </c>
      <c r="B120" s="890" t="s">
        <v>127</v>
      </c>
      <c r="C120" s="891"/>
      <c r="D120" s="891"/>
      <c r="E120" s="891"/>
      <c r="F120" s="892"/>
      <c r="G120" s="890"/>
      <c r="H120" s="891"/>
      <c r="I120" s="891"/>
      <c r="J120" s="891"/>
      <c r="K120" s="892"/>
    </row>
    <row r="121" spans="1:11" s="81" customFormat="1" ht="13.5" thickBot="1">
      <c r="A121" s="103" t="s">
        <v>128</v>
      </c>
      <c r="B121" s="1004" t="s">
        <v>129</v>
      </c>
      <c r="C121" s="1005"/>
      <c r="D121" s="1005"/>
      <c r="E121" s="1005"/>
      <c r="F121" s="1006"/>
      <c r="G121" s="1069"/>
      <c r="H121" s="1070"/>
      <c r="I121" s="1070"/>
      <c r="J121" s="1070"/>
      <c r="K121" s="1071"/>
    </row>
    <row r="122" spans="1:11" s="81" customFormat="1" ht="13.5" customHeight="1" thickBot="1">
      <c r="A122" s="550">
        <v>5651</v>
      </c>
      <c r="B122" s="1072" t="s">
        <v>221</v>
      </c>
      <c r="C122" s="1073"/>
      <c r="D122" s="1073"/>
      <c r="E122" s="1073"/>
      <c r="F122" s="1073"/>
      <c r="G122" s="550" t="s">
        <v>627</v>
      </c>
      <c r="H122" s="1077">
        <f>K125+K128+K130</f>
        <v>49.287999999999997</v>
      </c>
      <c r="I122" s="1078"/>
      <c r="J122" s="1078"/>
      <c r="K122" s="1079"/>
    </row>
    <row r="123" spans="1:11" s="81" customFormat="1" ht="15">
      <c r="A123" s="560"/>
      <c r="B123" s="574" t="s">
        <v>614</v>
      </c>
      <c r="C123" s="575" t="s">
        <v>615</v>
      </c>
      <c r="D123" s="575" t="s">
        <v>155</v>
      </c>
      <c r="E123" s="575" t="s">
        <v>616</v>
      </c>
      <c r="F123" s="576" t="s">
        <v>617</v>
      </c>
      <c r="G123" s="577" t="s">
        <v>618</v>
      </c>
      <c r="H123" s="1074"/>
      <c r="I123" s="1075"/>
      <c r="J123" s="1075"/>
      <c r="K123" s="1076"/>
    </row>
    <row r="124" spans="1:11" s="81" customFormat="1" ht="15">
      <c r="A124" s="556" t="s">
        <v>619</v>
      </c>
      <c r="B124" s="578"/>
      <c r="C124" s="570"/>
      <c r="D124" s="570"/>
      <c r="E124" s="570"/>
      <c r="F124" s="570"/>
      <c r="G124" s="570"/>
      <c r="H124" s="579"/>
      <c r="I124" s="580"/>
      <c r="J124" s="580"/>
      <c r="K124" s="581"/>
    </row>
    <row r="125" spans="1:11" s="81" customFormat="1" ht="15">
      <c r="A125" s="560" t="s">
        <v>620</v>
      </c>
      <c r="B125" s="582">
        <v>0.6</v>
      </c>
      <c r="C125" s="571">
        <v>0.6</v>
      </c>
      <c r="D125" s="571">
        <v>0.3</v>
      </c>
      <c r="E125" s="570"/>
      <c r="F125" s="571">
        <v>4</v>
      </c>
      <c r="G125" s="571">
        <v>14</v>
      </c>
      <c r="H125" s="579"/>
      <c r="I125" s="580"/>
      <c r="J125" s="580"/>
      <c r="K125" s="581">
        <v>10.08</v>
      </c>
    </row>
    <row r="126" spans="1:11" s="81" customFormat="1" ht="15">
      <c r="A126" s="560"/>
      <c r="B126" s="583"/>
      <c r="C126" s="571"/>
      <c r="D126" s="571"/>
      <c r="E126" s="570"/>
      <c r="F126" s="570"/>
      <c r="G126" s="571"/>
      <c r="H126" s="579"/>
      <c r="I126" s="580"/>
      <c r="J126" s="580"/>
      <c r="K126" s="581"/>
    </row>
    <row r="127" spans="1:11" s="81" customFormat="1" ht="15">
      <c r="A127" s="556" t="s">
        <v>621</v>
      </c>
      <c r="B127" s="569"/>
      <c r="C127" s="570"/>
      <c r="D127" s="571"/>
      <c r="E127" s="570"/>
      <c r="F127" s="571"/>
      <c r="G127" s="571"/>
      <c r="H127" s="579"/>
      <c r="I127" s="580"/>
      <c r="J127" s="580"/>
      <c r="K127" s="581"/>
    </row>
    <row r="128" spans="1:11" s="81" customFormat="1" ht="15">
      <c r="A128" s="560" t="s">
        <v>622</v>
      </c>
      <c r="B128" s="571">
        <v>0.3</v>
      </c>
      <c r="C128" s="571">
        <v>0.1</v>
      </c>
      <c r="D128" s="571">
        <v>0.7</v>
      </c>
      <c r="E128" s="570"/>
      <c r="F128" s="571">
        <v>2</v>
      </c>
      <c r="G128" s="571">
        <v>14</v>
      </c>
      <c r="H128" s="579">
        <v>5.88</v>
      </c>
      <c r="I128" s="580">
        <v>1.9599999999999997</v>
      </c>
      <c r="J128" s="580"/>
      <c r="K128" s="581">
        <v>7.84</v>
      </c>
    </row>
    <row r="129" spans="1:11" s="81" customFormat="1" ht="15">
      <c r="A129" s="556" t="s">
        <v>623</v>
      </c>
      <c r="B129" s="569"/>
      <c r="C129" s="570"/>
      <c r="D129" s="571"/>
      <c r="E129" s="570"/>
      <c r="F129" s="571"/>
      <c r="G129" s="571"/>
      <c r="H129" s="579"/>
      <c r="I129" s="580"/>
      <c r="J129" s="580"/>
      <c r="K129" s="581"/>
    </row>
    <row r="130" spans="1:11" s="81" customFormat="1" ht="15.75" thickBot="1">
      <c r="A130" s="560" t="s">
        <v>624</v>
      </c>
      <c r="B130" s="571">
        <v>52.279999999999994</v>
      </c>
      <c r="C130" s="571">
        <v>0</v>
      </c>
      <c r="D130" s="571">
        <v>0.3</v>
      </c>
      <c r="E130" s="570"/>
      <c r="F130" s="571">
        <v>2</v>
      </c>
      <c r="G130" s="571">
        <v>1</v>
      </c>
      <c r="H130" s="579">
        <v>31.367999999999995</v>
      </c>
      <c r="I130" s="580">
        <v>0</v>
      </c>
      <c r="J130" s="580"/>
      <c r="K130" s="581">
        <v>31.367999999999995</v>
      </c>
    </row>
    <row r="131" spans="1:11" s="81" customFormat="1" ht="29.25" customHeight="1" thickBot="1">
      <c r="A131" s="501">
        <v>6042</v>
      </c>
      <c r="B131" s="982" t="s">
        <v>220</v>
      </c>
      <c r="C131" s="982"/>
      <c r="D131" s="982"/>
      <c r="E131" s="599" t="s">
        <v>118</v>
      </c>
      <c r="F131" s="600">
        <f>F134+F136</f>
        <v>0.51340000000000008</v>
      </c>
    </row>
    <row r="132" spans="1:11" s="81" customFormat="1">
      <c r="A132" s="551"/>
      <c r="B132" s="552" t="s">
        <v>120</v>
      </c>
      <c r="C132" s="553" t="s">
        <v>130</v>
      </c>
      <c r="D132" s="554" t="s">
        <v>131</v>
      </c>
      <c r="E132" s="554" t="s">
        <v>23</v>
      </c>
      <c r="F132" s="555" t="s">
        <v>13</v>
      </c>
    </row>
    <row r="133" spans="1:11" s="81" customFormat="1">
      <c r="A133" s="556" t="s">
        <v>619</v>
      </c>
      <c r="B133" s="557"/>
      <c r="C133" s="558"/>
      <c r="D133" s="558"/>
      <c r="E133" s="558"/>
      <c r="F133" s="559"/>
    </row>
    <row r="134" spans="1:11" s="81" customFormat="1">
      <c r="A134" s="560" t="s">
        <v>620</v>
      </c>
      <c r="B134" s="572">
        <v>0.6</v>
      </c>
      <c r="C134" s="573">
        <v>0.6</v>
      </c>
      <c r="D134" s="573">
        <v>0.05</v>
      </c>
      <c r="E134" s="573">
        <v>14</v>
      </c>
      <c r="F134" s="573">
        <f>B134*C134*D134*E134</f>
        <v>0.252</v>
      </c>
      <c r="G134" s="549"/>
    </row>
    <row r="135" spans="1:11" s="81" customFormat="1" ht="12.75" customHeight="1">
      <c r="A135" s="556" t="s">
        <v>623</v>
      </c>
      <c r="B135" s="565"/>
      <c r="C135" s="565"/>
      <c r="D135" s="566"/>
      <c r="E135" s="565"/>
      <c r="F135" s="567"/>
    </row>
    <row r="136" spans="1:11" s="81" customFormat="1" ht="13.5" thickBot="1">
      <c r="A136" s="560" t="s">
        <v>624</v>
      </c>
      <c r="B136" s="557">
        <v>52.28</v>
      </c>
      <c r="C136" s="568">
        <v>0.1</v>
      </c>
      <c r="D136" s="568">
        <v>0.05</v>
      </c>
      <c r="E136" s="568"/>
      <c r="F136" s="559">
        <f>B136*C136*D136</f>
        <v>0.26140000000000002</v>
      </c>
    </row>
    <row r="137" spans="1:11" s="81" customFormat="1" ht="26.25" customHeight="1" thickBot="1">
      <c r="A137" s="501" t="s">
        <v>214</v>
      </c>
      <c r="B137" s="982" t="s">
        <v>219</v>
      </c>
      <c r="C137" s="982"/>
      <c r="D137" s="982"/>
      <c r="E137" s="599" t="s">
        <v>118</v>
      </c>
      <c r="F137" s="600">
        <f>F140+F142+F144</f>
        <v>3.1224000000000003</v>
      </c>
    </row>
    <row r="138" spans="1:11" s="81" customFormat="1">
      <c r="A138" s="551" t="s">
        <v>119</v>
      </c>
      <c r="B138" s="552" t="s">
        <v>120</v>
      </c>
      <c r="C138" s="553" t="s">
        <v>130</v>
      </c>
      <c r="D138" s="554" t="s">
        <v>131</v>
      </c>
      <c r="E138" s="554" t="s">
        <v>23</v>
      </c>
      <c r="F138" s="555" t="s">
        <v>13</v>
      </c>
    </row>
    <row r="139" spans="1:11" s="81" customFormat="1">
      <c r="A139" s="556" t="s">
        <v>619</v>
      </c>
      <c r="B139" s="557"/>
      <c r="C139" s="558"/>
      <c r="D139" s="558"/>
      <c r="E139" s="558"/>
      <c r="F139" s="559"/>
    </row>
    <row r="140" spans="1:11" s="81" customFormat="1">
      <c r="A140" s="560" t="s">
        <v>620</v>
      </c>
      <c r="B140" s="561">
        <v>0.6</v>
      </c>
      <c r="C140" s="562">
        <v>0.6</v>
      </c>
      <c r="D140" s="562">
        <v>0.25</v>
      </c>
      <c r="E140" s="562">
        <v>14</v>
      </c>
      <c r="F140" s="562">
        <f>B140*C140*D140*E140</f>
        <v>1.26</v>
      </c>
    </row>
    <row r="141" spans="1:11" s="81" customFormat="1">
      <c r="A141" s="556" t="s">
        <v>621</v>
      </c>
      <c r="B141" s="563"/>
      <c r="C141" s="564"/>
      <c r="D141" s="564"/>
      <c r="E141" s="564"/>
      <c r="F141" s="564"/>
    </row>
    <row r="142" spans="1:11" s="81" customFormat="1">
      <c r="A142" s="560" t="s">
        <v>622</v>
      </c>
      <c r="B142" s="563">
        <v>0.3</v>
      </c>
      <c r="C142" s="564">
        <v>0.1</v>
      </c>
      <c r="D142" s="564">
        <v>0.7</v>
      </c>
      <c r="E142" s="564">
        <v>14</v>
      </c>
      <c r="F142" s="564">
        <f>B142*C142*D142*E142</f>
        <v>0.29399999999999998</v>
      </c>
    </row>
    <row r="143" spans="1:11" s="81" customFormat="1" ht="12" customHeight="1">
      <c r="A143" s="556" t="s">
        <v>623</v>
      </c>
      <c r="B143" s="565"/>
      <c r="C143" s="565"/>
      <c r="D143" s="566"/>
      <c r="E143" s="565"/>
      <c r="F143" s="567"/>
    </row>
    <row r="144" spans="1:11" s="81" customFormat="1" ht="13.5" thickBot="1">
      <c r="A144" s="560" t="s">
        <v>624</v>
      </c>
      <c r="B144" s="557">
        <v>52.28</v>
      </c>
      <c r="C144" s="568">
        <v>0.1</v>
      </c>
      <c r="D144" s="568">
        <v>0.3</v>
      </c>
      <c r="E144" s="568"/>
      <c r="F144" s="559">
        <f>B144*C144*D144</f>
        <v>1.5684000000000002</v>
      </c>
    </row>
    <row r="145" spans="1:7" s="81" customFormat="1" ht="27" customHeight="1" thickBot="1">
      <c r="A145" s="74" t="s">
        <v>215</v>
      </c>
      <c r="B145" s="871" t="s">
        <v>217</v>
      </c>
      <c r="C145" s="871"/>
      <c r="D145" s="871"/>
      <c r="E145" s="75" t="s">
        <v>10</v>
      </c>
      <c r="F145" s="76">
        <f>G148+G150+G152</f>
        <v>144.5384</v>
      </c>
    </row>
    <row r="146" spans="1:7" s="81" customFormat="1">
      <c r="A146" s="551" t="s">
        <v>119</v>
      </c>
      <c r="B146" s="552" t="s">
        <v>120</v>
      </c>
      <c r="C146" s="553" t="s">
        <v>184</v>
      </c>
      <c r="D146" s="554" t="s">
        <v>185</v>
      </c>
      <c r="E146" s="554" t="s">
        <v>186</v>
      </c>
      <c r="F146" s="593" t="s">
        <v>629</v>
      </c>
      <c r="G146" s="594" t="s">
        <v>13</v>
      </c>
    </row>
    <row r="147" spans="1:7" s="81" customFormat="1">
      <c r="A147" s="556" t="s">
        <v>619</v>
      </c>
      <c r="B147" s="557"/>
      <c r="C147" s="558"/>
      <c r="D147" s="558"/>
      <c r="E147" s="558"/>
      <c r="F147" s="558"/>
      <c r="G147" s="594"/>
    </row>
    <row r="148" spans="1:7" s="81" customFormat="1">
      <c r="A148" s="560" t="s">
        <v>620</v>
      </c>
      <c r="B148" s="557">
        <v>0.7</v>
      </c>
      <c r="C148" s="568" t="s">
        <v>628</v>
      </c>
      <c r="D148" s="592">
        <v>0.39500000000000002</v>
      </c>
      <c r="E148" s="558">
        <v>12</v>
      </c>
      <c r="F148" s="558">
        <v>14</v>
      </c>
      <c r="G148" s="595">
        <f>B148*E148*F148*D148</f>
        <v>46.451999999999991</v>
      </c>
    </row>
    <row r="149" spans="1:7" s="81" customFormat="1" ht="13.5" customHeight="1">
      <c r="A149" s="556" t="s">
        <v>621</v>
      </c>
      <c r="B149" s="565"/>
      <c r="C149" s="565"/>
      <c r="D149" s="586"/>
      <c r="E149" s="566"/>
      <c r="F149" s="557"/>
      <c r="G149" s="594"/>
    </row>
    <row r="150" spans="1:7" s="81" customFormat="1">
      <c r="A150" s="560" t="s">
        <v>622</v>
      </c>
      <c r="B150" s="557">
        <v>0.7</v>
      </c>
      <c r="C150" s="568" t="s">
        <v>628</v>
      </c>
      <c r="D150" s="592">
        <v>0.39500000000000002</v>
      </c>
      <c r="E150" s="558">
        <v>4</v>
      </c>
      <c r="F150" s="558">
        <v>14</v>
      </c>
      <c r="G150" s="566">
        <f>B150*E150*D150*F150</f>
        <v>15.483999999999998</v>
      </c>
    </row>
    <row r="151" spans="1:7" s="81" customFormat="1">
      <c r="A151" s="556" t="s">
        <v>623</v>
      </c>
      <c r="B151" s="587"/>
      <c r="C151" s="587"/>
      <c r="D151" s="588"/>
      <c r="E151" s="589"/>
      <c r="F151" s="557"/>
      <c r="G151" s="594"/>
    </row>
    <row r="152" spans="1:7" s="81" customFormat="1">
      <c r="A152" s="560" t="s">
        <v>624</v>
      </c>
      <c r="B152" s="557">
        <v>52.28</v>
      </c>
      <c r="C152" s="568" t="s">
        <v>628</v>
      </c>
      <c r="D152" s="592">
        <v>0.39500000000000002</v>
      </c>
      <c r="E152" s="597">
        <v>4</v>
      </c>
      <c r="F152" s="596">
        <v>1</v>
      </c>
      <c r="G152" s="566">
        <f>B152*E152*D152*F152</f>
        <v>82.602400000000003</v>
      </c>
    </row>
    <row r="153" spans="1:7" s="81" customFormat="1" ht="13.5" thickBot="1">
      <c r="A153" s="585"/>
      <c r="B153" s="1030"/>
      <c r="C153" s="1031"/>
      <c r="D153" s="1031"/>
      <c r="E153" s="1032"/>
      <c r="F153" s="1033"/>
      <c r="G153" s="598"/>
    </row>
    <row r="154" spans="1:7" s="81" customFormat="1" ht="26.25" customHeight="1" thickBot="1">
      <c r="A154" s="74" t="s">
        <v>216</v>
      </c>
      <c r="B154" s="871" t="s">
        <v>218</v>
      </c>
      <c r="C154" s="871"/>
      <c r="D154" s="871"/>
      <c r="E154" s="75" t="s">
        <v>10</v>
      </c>
      <c r="F154" s="76">
        <f>G157+G159</f>
        <v>36.093242666666669</v>
      </c>
    </row>
    <row r="155" spans="1:7" s="81" customFormat="1">
      <c r="A155" s="302" t="s">
        <v>119</v>
      </c>
      <c r="B155" s="92" t="s">
        <v>120</v>
      </c>
      <c r="C155" s="104" t="s">
        <v>184</v>
      </c>
      <c r="D155" s="77" t="s">
        <v>185</v>
      </c>
      <c r="E155" s="77" t="s">
        <v>186</v>
      </c>
      <c r="F155" s="97" t="s">
        <v>13</v>
      </c>
    </row>
    <row r="156" spans="1:7" s="81" customFormat="1">
      <c r="A156" s="556" t="s">
        <v>621</v>
      </c>
      <c r="B156" s="590" t="s">
        <v>630</v>
      </c>
      <c r="C156" s="565"/>
      <c r="D156" s="586"/>
      <c r="E156" s="566"/>
      <c r="F156" s="557"/>
      <c r="G156" s="594"/>
    </row>
    <row r="157" spans="1:7" s="81" customFormat="1">
      <c r="A157" s="560" t="s">
        <v>622</v>
      </c>
      <c r="B157" s="557">
        <f>0.3+0.3+0.1+0.1</f>
        <v>0.79999999999999993</v>
      </c>
      <c r="C157" s="568" t="s">
        <v>632</v>
      </c>
      <c r="D157" s="592">
        <v>0.109</v>
      </c>
      <c r="E157" s="558">
        <v>4.67</v>
      </c>
      <c r="F157" s="558">
        <v>14</v>
      </c>
      <c r="G157" s="566">
        <f>B157*E157*D157*F157</f>
        <v>5.701136</v>
      </c>
    </row>
    <row r="158" spans="1:7" s="81" customFormat="1">
      <c r="A158" s="556" t="s">
        <v>623</v>
      </c>
      <c r="B158" s="587" t="s">
        <v>631</v>
      </c>
      <c r="C158" s="587"/>
      <c r="D158" s="588"/>
      <c r="E158" s="589"/>
      <c r="F158" s="557"/>
      <c r="G158" s="594"/>
    </row>
    <row r="159" spans="1:7" s="81" customFormat="1">
      <c r="A159" s="560" t="s">
        <v>624</v>
      </c>
      <c r="B159" s="557">
        <v>0.8</v>
      </c>
      <c r="C159" s="568" t="s">
        <v>632</v>
      </c>
      <c r="D159" s="592">
        <v>0.109</v>
      </c>
      <c r="E159" s="597">
        <f>52.28/0.15</f>
        <v>348.53333333333336</v>
      </c>
      <c r="F159" s="596">
        <v>1</v>
      </c>
      <c r="G159" s="566">
        <f>B159*E159*D159*F159</f>
        <v>30.39210666666667</v>
      </c>
    </row>
    <row r="160" spans="1:7" s="81" customFormat="1" ht="13.5" thickBot="1">
      <c r="A160" s="585"/>
      <c r="B160" s="1030"/>
      <c r="C160" s="1031"/>
      <c r="D160" s="1031"/>
      <c r="E160" s="1032"/>
      <c r="F160" s="1033"/>
      <c r="G160" s="598"/>
    </row>
    <row r="161" spans="1:7" s="81" customFormat="1" ht="13.5" thickBot="1">
      <c r="A161" s="107" t="s">
        <v>132</v>
      </c>
      <c r="B161" s="1004" t="s">
        <v>133</v>
      </c>
      <c r="C161" s="1005"/>
      <c r="D161" s="1005"/>
      <c r="E161" s="1005"/>
      <c r="F161" s="1006"/>
    </row>
    <row r="162" spans="1:7" s="81" customFormat="1" ht="27" customHeight="1" thickBot="1">
      <c r="A162" s="74" t="s">
        <v>214</v>
      </c>
      <c r="B162" s="871" t="s">
        <v>219</v>
      </c>
      <c r="C162" s="871"/>
      <c r="D162" s="871"/>
      <c r="E162" s="75" t="s">
        <v>118</v>
      </c>
      <c r="F162" s="76">
        <f>F165+F167</f>
        <v>2.8704000000000001</v>
      </c>
    </row>
    <row r="163" spans="1:7" s="81" customFormat="1">
      <c r="A163" s="302" t="s">
        <v>119</v>
      </c>
      <c r="B163" s="92" t="s">
        <v>120</v>
      </c>
      <c r="C163" s="104" t="s">
        <v>130</v>
      </c>
      <c r="D163" s="77" t="s">
        <v>131</v>
      </c>
      <c r="E163" s="77" t="s">
        <v>23</v>
      </c>
      <c r="F163" s="97" t="s">
        <v>13</v>
      </c>
    </row>
    <row r="164" spans="1:7" s="81" customFormat="1">
      <c r="A164" s="556" t="s">
        <v>625</v>
      </c>
      <c r="B164" s="563"/>
      <c r="C164" s="564"/>
      <c r="D164" s="564"/>
      <c r="E164" s="564"/>
      <c r="F164" s="564"/>
    </row>
    <row r="165" spans="1:7" s="81" customFormat="1">
      <c r="A165" s="560" t="s">
        <v>622</v>
      </c>
      <c r="B165" s="563">
        <v>0.3</v>
      </c>
      <c r="C165" s="564">
        <v>0.1</v>
      </c>
      <c r="D165" s="564">
        <v>3.1</v>
      </c>
      <c r="E165" s="564">
        <v>14</v>
      </c>
      <c r="F165" s="564">
        <f>B165*C165*D165*E165</f>
        <v>1.302</v>
      </c>
    </row>
    <row r="166" spans="1:7" s="81" customFormat="1">
      <c r="A166" s="556" t="s">
        <v>626</v>
      </c>
      <c r="B166" s="552"/>
      <c r="C166" s="553"/>
      <c r="D166" s="601"/>
      <c r="E166" s="554"/>
      <c r="F166" s="602"/>
    </row>
    <row r="167" spans="1:7" s="81" customFormat="1" ht="13.5" thickBot="1">
      <c r="A167" s="560" t="s">
        <v>624</v>
      </c>
      <c r="B167" s="557">
        <v>52.28</v>
      </c>
      <c r="C167" s="558">
        <v>0.1</v>
      </c>
      <c r="D167" s="558">
        <v>0.3</v>
      </c>
      <c r="E167" s="558"/>
      <c r="F167" s="559">
        <f>B167*C167*D167</f>
        <v>1.5684000000000002</v>
      </c>
    </row>
    <row r="168" spans="1:7" s="81" customFormat="1" ht="27" customHeight="1" thickBot="1">
      <c r="A168" s="74" t="s">
        <v>215</v>
      </c>
      <c r="B168" s="871" t="s">
        <v>217</v>
      </c>
      <c r="C168" s="871"/>
      <c r="D168" s="871"/>
      <c r="E168" s="75" t="s">
        <v>10</v>
      </c>
      <c r="F168" s="76">
        <f>G171+G173</f>
        <v>151.17439999999999</v>
      </c>
    </row>
    <row r="169" spans="1:7" s="81" customFormat="1">
      <c r="A169" s="302" t="s">
        <v>119</v>
      </c>
      <c r="B169" s="92" t="s">
        <v>120</v>
      </c>
      <c r="C169" s="104" t="s">
        <v>184</v>
      </c>
      <c r="D169" s="77" t="s">
        <v>185</v>
      </c>
      <c r="E169" s="77" t="s">
        <v>186</v>
      </c>
      <c r="F169" s="97" t="s">
        <v>634</v>
      </c>
    </row>
    <row r="170" spans="1:7" s="81" customFormat="1">
      <c r="A170" s="556" t="s">
        <v>625</v>
      </c>
      <c r="B170" s="565"/>
      <c r="C170" s="590" t="s">
        <v>628</v>
      </c>
      <c r="D170" s="586"/>
      <c r="E170" s="566"/>
      <c r="F170" s="557"/>
      <c r="G170" s="594"/>
    </row>
    <row r="171" spans="1:7" s="81" customFormat="1">
      <c r="A171" s="560" t="s">
        <v>622</v>
      </c>
      <c r="B171" s="557">
        <v>3.1</v>
      </c>
      <c r="C171" s="568"/>
      <c r="D171" s="592">
        <v>0.39500000000000002</v>
      </c>
      <c r="E171" s="558">
        <v>4</v>
      </c>
      <c r="F171" s="558">
        <v>14</v>
      </c>
      <c r="G171" s="566">
        <f>B171*E171*D171*F171</f>
        <v>68.572000000000003</v>
      </c>
    </row>
    <row r="172" spans="1:7" s="81" customFormat="1">
      <c r="A172" s="556" t="s">
        <v>626</v>
      </c>
      <c r="B172" s="590"/>
      <c r="C172" s="590" t="s">
        <v>628</v>
      </c>
      <c r="D172" s="588"/>
      <c r="E172" s="591"/>
      <c r="F172" s="557"/>
      <c r="G172" s="594"/>
    </row>
    <row r="173" spans="1:7" s="81" customFormat="1" ht="13.5" thickBot="1">
      <c r="A173" s="560" t="s">
        <v>624</v>
      </c>
      <c r="B173" s="557">
        <v>52.28</v>
      </c>
      <c r="C173" s="558"/>
      <c r="D173" s="592">
        <v>0.39500000000000002</v>
      </c>
      <c r="E173" s="558">
        <v>4</v>
      </c>
      <c r="F173" s="558"/>
      <c r="G173" s="603">
        <f>B173*E173*D173</f>
        <v>82.602400000000003</v>
      </c>
    </row>
    <row r="174" spans="1:7" s="81" customFormat="1" ht="27" customHeight="1" thickBot="1">
      <c r="A174" s="74" t="s">
        <v>216</v>
      </c>
      <c r="B174" s="871" t="s">
        <v>218</v>
      </c>
      <c r="C174" s="871"/>
      <c r="D174" s="871"/>
      <c r="E174" s="75" t="s">
        <v>10</v>
      </c>
      <c r="F174" s="76">
        <f>G177+G179</f>
        <v>55.621973333333329</v>
      </c>
    </row>
    <row r="175" spans="1:7" s="81" customFormat="1">
      <c r="A175" s="302" t="s">
        <v>119</v>
      </c>
      <c r="B175" s="92" t="s">
        <v>120</v>
      </c>
      <c r="C175" s="104" t="s">
        <v>184</v>
      </c>
      <c r="D175" s="77" t="s">
        <v>185</v>
      </c>
      <c r="E175" s="77" t="s">
        <v>186</v>
      </c>
      <c r="F175" s="97" t="s">
        <v>634</v>
      </c>
    </row>
    <row r="176" spans="1:7" s="81" customFormat="1">
      <c r="A176" s="556" t="s">
        <v>625</v>
      </c>
      <c r="B176" s="557" t="s">
        <v>633</v>
      </c>
      <c r="C176" s="558" t="s">
        <v>632</v>
      </c>
      <c r="D176" s="558"/>
      <c r="E176" s="558"/>
      <c r="F176" s="559"/>
      <c r="G176" s="598"/>
    </row>
    <row r="177" spans="1:11" s="81" customFormat="1">
      <c r="A177" s="560" t="s">
        <v>622</v>
      </c>
      <c r="B177" s="610">
        <f>0.3+0.3+0.1+0.1</f>
        <v>0.79999999999999993</v>
      </c>
      <c r="C177" s="604"/>
      <c r="D177" s="608">
        <v>0.109</v>
      </c>
      <c r="E177" s="609">
        <f>3.1/0.15</f>
        <v>20.666666666666668</v>
      </c>
      <c r="F177" s="611">
        <v>14</v>
      </c>
      <c r="G177" s="598">
        <f>B177*D177*E177*F177</f>
        <v>25.229866666666663</v>
      </c>
    </row>
    <row r="178" spans="1:11" s="81" customFormat="1">
      <c r="A178" s="556" t="s">
        <v>626</v>
      </c>
      <c r="B178" s="606" t="s">
        <v>631</v>
      </c>
      <c r="C178" s="606" t="s">
        <v>632</v>
      </c>
      <c r="D178" s="607"/>
      <c r="E178" s="553"/>
      <c r="F178" s="567"/>
      <c r="G178" s="598"/>
    </row>
    <row r="179" spans="1:11" s="81" customFormat="1" ht="13.5" thickBot="1">
      <c r="A179" s="560" t="s">
        <v>624</v>
      </c>
      <c r="B179" s="610">
        <v>0.8</v>
      </c>
      <c r="C179" s="604"/>
      <c r="D179" s="608">
        <v>0.109</v>
      </c>
      <c r="E179" s="609">
        <f>52.28/0.15</f>
        <v>348.53333333333336</v>
      </c>
      <c r="F179" s="605"/>
      <c r="G179" s="612">
        <f>B179*D179*E179</f>
        <v>30.39210666666667</v>
      </c>
    </row>
    <row r="180" spans="1:11" s="81" customFormat="1" ht="39" customHeight="1" thickBot="1">
      <c r="A180" s="74">
        <v>84216</v>
      </c>
      <c r="B180" s="871" t="s">
        <v>635</v>
      </c>
      <c r="C180" s="871"/>
      <c r="D180" s="871"/>
      <c r="E180" s="75" t="s">
        <v>134</v>
      </c>
      <c r="F180" s="76">
        <f>K183+K185</f>
        <v>66.087999999999994</v>
      </c>
    </row>
    <row r="181" spans="1:11" s="81" customFormat="1">
      <c r="A181" s="302" t="s">
        <v>119</v>
      </c>
      <c r="B181" s="92" t="s">
        <v>120</v>
      </c>
      <c r="C181" s="104" t="s">
        <v>126</v>
      </c>
      <c r="D181" s="77" t="s">
        <v>188</v>
      </c>
      <c r="E181" s="77" t="s">
        <v>23</v>
      </c>
      <c r="F181" s="97" t="s">
        <v>13</v>
      </c>
    </row>
    <row r="182" spans="1:11" s="81" customFormat="1" ht="15">
      <c r="A182" s="556" t="s">
        <v>625</v>
      </c>
      <c r="B182" s="569"/>
      <c r="C182" s="570"/>
      <c r="D182" s="571"/>
      <c r="E182" s="570"/>
      <c r="F182" s="571"/>
      <c r="G182" s="571"/>
      <c r="H182" s="579"/>
      <c r="I182" s="580"/>
      <c r="J182" s="580"/>
      <c r="K182" s="581"/>
    </row>
    <row r="183" spans="1:11" s="81" customFormat="1" ht="15">
      <c r="A183" s="560" t="s">
        <v>622</v>
      </c>
      <c r="B183" s="571">
        <v>0.3</v>
      </c>
      <c r="C183" s="571">
        <v>0.1</v>
      </c>
      <c r="D183" s="571">
        <v>3.1</v>
      </c>
      <c r="E183" s="570"/>
      <c r="F183" s="571">
        <v>2</v>
      </c>
      <c r="G183" s="571">
        <v>14</v>
      </c>
      <c r="H183" s="579">
        <v>26.04</v>
      </c>
      <c r="I183" s="580">
        <v>8.6800000000000015</v>
      </c>
      <c r="J183" s="580"/>
      <c r="K183" s="581">
        <v>34.72</v>
      </c>
    </row>
    <row r="184" spans="1:11" s="81" customFormat="1" ht="15">
      <c r="A184" s="556" t="s">
        <v>626</v>
      </c>
      <c r="B184" s="569"/>
      <c r="C184" s="570"/>
      <c r="D184" s="571"/>
      <c r="E184" s="570"/>
      <c r="F184" s="571"/>
      <c r="G184" s="571"/>
      <c r="H184" s="579"/>
      <c r="I184" s="580"/>
      <c r="J184" s="580"/>
      <c r="K184" s="581"/>
    </row>
    <row r="185" spans="1:11" s="81" customFormat="1" ht="15.75" thickBot="1">
      <c r="A185" s="658" t="s">
        <v>624</v>
      </c>
      <c r="B185" s="659">
        <v>52.279999999999994</v>
      </c>
      <c r="C185" s="659">
        <v>0</v>
      </c>
      <c r="D185" s="659">
        <v>0.3</v>
      </c>
      <c r="E185" s="660"/>
      <c r="F185" s="659">
        <v>2</v>
      </c>
      <c r="G185" s="571">
        <v>1</v>
      </c>
      <c r="H185" s="579">
        <v>31.367999999999995</v>
      </c>
      <c r="I185" s="580">
        <v>0</v>
      </c>
      <c r="J185" s="580"/>
      <c r="K185" s="581">
        <v>31.367999999999995</v>
      </c>
    </row>
    <row r="186" spans="1:11" s="81" customFormat="1" ht="71.25" customHeight="1">
      <c r="A186" s="664" t="s">
        <v>669</v>
      </c>
      <c r="B186" s="1038" t="s">
        <v>670</v>
      </c>
      <c r="C186" s="1039"/>
      <c r="D186" s="1040"/>
      <c r="E186" s="666" t="s">
        <v>134</v>
      </c>
      <c r="F186" s="665">
        <v>20.78</v>
      </c>
      <c r="G186" s="653" t="s">
        <v>660</v>
      </c>
      <c r="H186" s="655"/>
      <c r="I186" s="656"/>
      <c r="J186" s="656"/>
      <c r="K186" s="657"/>
    </row>
    <row r="187" spans="1:11" s="81" customFormat="1" ht="15">
      <c r="A187" s="661"/>
      <c r="B187" s="663" t="s">
        <v>671</v>
      </c>
      <c r="C187" s="663">
        <f>5.86*3+3.2</f>
        <v>20.78</v>
      </c>
      <c r="D187" s="663"/>
      <c r="E187" s="662"/>
      <c r="F187" s="663"/>
      <c r="G187" s="653"/>
      <c r="H187" s="655"/>
      <c r="I187" s="656"/>
      <c r="J187" s="656"/>
      <c r="K187" s="657"/>
    </row>
    <row r="188" spans="1:11" s="81" customFormat="1" ht="15">
      <c r="A188" s="652"/>
      <c r="B188" s="653"/>
      <c r="C188" s="653"/>
      <c r="D188" s="653"/>
      <c r="E188" s="654"/>
      <c r="F188" s="653"/>
      <c r="G188" s="653"/>
      <c r="H188" s="655"/>
      <c r="I188" s="656"/>
      <c r="J188" s="656"/>
      <c r="K188" s="657"/>
    </row>
    <row r="189" spans="1:11" s="81" customFormat="1" ht="13.5" thickBot="1">
      <c r="A189" s="314"/>
      <c r="B189" s="613"/>
      <c r="C189" s="614"/>
      <c r="D189" s="614"/>
      <c r="E189" s="615"/>
      <c r="F189" s="315"/>
    </row>
    <row r="190" spans="1:11" s="81" customFormat="1" ht="13.5" thickBot="1">
      <c r="A190" s="73">
        <v>5</v>
      </c>
      <c r="B190" s="890" t="s">
        <v>67</v>
      </c>
      <c r="C190" s="891"/>
      <c r="D190" s="891"/>
      <c r="E190" s="891"/>
      <c r="F190" s="892"/>
    </row>
    <row r="191" spans="1:11" s="81" customFormat="1" ht="39.75" customHeight="1" thickBot="1">
      <c r="A191" s="74" t="s">
        <v>223</v>
      </c>
      <c r="B191" s="893" t="s">
        <v>224</v>
      </c>
      <c r="C191" s="894"/>
      <c r="D191" s="895"/>
      <c r="E191" s="75" t="s">
        <v>135</v>
      </c>
      <c r="F191" s="76">
        <f>ROUNDDOWN(E194+E195+E196+E198+E199+E200+E201+E202+E204+E205+E207+E209+E211+E212+E214+E215+E216+E218+E219+E221+E222+E224+E225+E227+E228,2)</f>
        <v>125.5</v>
      </c>
    </row>
    <row r="192" spans="1:11" s="81" customFormat="1" ht="27.75" customHeight="1">
      <c r="A192" s="301" t="s">
        <v>119</v>
      </c>
      <c r="B192" s="77" t="s">
        <v>120</v>
      </c>
      <c r="C192" s="697" t="s">
        <v>23</v>
      </c>
      <c r="D192" s="677" t="s">
        <v>136</v>
      </c>
      <c r="E192" s="77" t="s">
        <v>13</v>
      </c>
      <c r="F192" s="109"/>
    </row>
    <row r="193" spans="1:6" s="81" customFormat="1">
      <c r="A193" s="423" t="s">
        <v>441</v>
      </c>
      <c r="B193" s="1041"/>
      <c r="C193" s="1048"/>
      <c r="D193" s="1035"/>
      <c r="E193" s="105"/>
      <c r="F193" s="111"/>
    </row>
    <row r="194" spans="1:6" s="81" customFormat="1">
      <c r="A194" s="313" t="s">
        <v>150</v>
      </c>
      <c r="B194" s="303">
        <v>1.6</v>
      </c>
      <c r="C194" s="112">
        <v>2</v>
      </c>
      <c r="D194" s="113">
        <v>0.4</v>
      </c>
      <c r="E194" s="114">
        <f>ROUNDDOWN((B194+D194)*C194*2,2)</f>
        <v>8</v>
      </c>
      <c r="F194" s="111"/>
    </row>
    <row r="195" spans="1:6" s="81" customFormat="1">
      <c r="A195" s="313" t="s">
        <v>151</v>
      </c>
      <c r="B195" s="303">
        <v>2</v>
      </c>
      <c r="C195" s="112">
        <v>2</v>
      </c>
      <c r="D195" s="113">
        <v>0.4</v>
      </c>
      <c r="E195" s="114">
        <f>ROUNDDOWN((B195+D195)*C195*2,2)</f>
        <v>9.6</v>
      </c>
      <c r="F195" s="111"/>
    </row>
    <row r="196" spans="1:6" s="81" customFormat="1" ht="13.5" thickBot="1">
      <c r="A196" s="458" t="s">
        <v>137</v>
      </c>
      <c r="B196" s="445">
        <v>0.9</v>
      </c>
      <c r="C196" s="371">
        <v>1</v>
      </c>
      <c r="D196" s="218">
        <v>0.4</v>
      </c>
      <c r="E196" s="459">
        <f>B196+D196</f>
        <v>1.3</v>
      </c>
      <c r="F196" s="219"/>
    </row>
    <row r="197" spans="1:6" s="81" customFormat="1" ht="25.5">
      <c r="A197" s="460" t="s">
        <v>442</v>
      </c>
      <c r="B197" s="901"/>
      <c r="C197" s="1049"/>
      <c r="D197" s="902"/>
      <c r="E197" s="461"/>
      <c r="F197" s="462"/>
    </row>
    <row r="198" spans="1:6" s="81" customFormat="1">
      <c r="A198" s="313" t="s">
        <v>444</v>
      </c>
      <c r="B198" s="443">
        <v>1.25</v>
      </c>
      <c r="C198" s="116">
        <v>1</v>
      </c>
      <c r="D198" s="113">
        <v>0.4</v>
      </c>
      <c r="E198" s="114">
        <f>ROUNDDOWN((B198+D198)*C198*2,2)</f>
        <v>3.3</v>
      </c>
      <c r="F198" s="133"/>
    </row>
    <row r="199" spans="1:6" s="81" customFormat="1" ht="13.5" thickBot="1">
      <c r="A199" s="458" t="s">
        <v>137</v>
      </c>
      <c r="B199" s="445">
        <v>0.8</v>
      </c>
      <c r="C199" s="371">
        <v>1</v>
      </c>
      <c r="D199" s="218">
        <v>0.4</v>
      </c>
      <c r="E199" s="459">
        <f>B199+D199</f>
        <v>1.2000000000000002</v>
      </c>
      <c r="F199" s="219"/>
    </row>
    <row r="200" spans="1:6" s="81" customFormat="1" ht="25.5">
      <c r="A200" s="464" t="s">
        <v>443</v>
      </c>
      <c r="B200" s="990"/>
      <c r="C200" s="991"/>
      <c r="D200" s="992"/>
      <c r="E200" s="465"/>
      <c r="F200" s="466"/>
    </row>
    <row r="201" spans="1:6" s="81" customFormat="1">
      <c r="A201" s="313" t="s">
        <v>444</v>
      </c>
      <c r="B201" s="443">
        <v>1.25</v>
      </c>
      <c r="C201" s="116">
        <v>1</v>
      </c>
      <c r="D201" s="113">
        <v>0.4</v>
      </c>
      <c r="E201" s="114">
        <f>ROUNDDOWN((B201+D201)*C201*2,2)</f>
        <v>3.3</v>
      </c>
      <c r="F201" s="115"/>
    </row>
    <row r="202" spans="1:6" s="81" customFormat="1" ht="13.5" thickBot="1">
      <c r="A202" s="458" t="s">
        <v>137</v>
      </c>
      <c r="B202" s="445">
        <v>0.8</v>
      </c>
      <c r="C202" s="371">
        <v>1</v>
      </c>
      <c r="D202" s="218">
        <v>0.4</v>
      </c>
      <c r="E202" s="459">
        <f>B202+D202</f>
        <v>1.2000000000000002</v>
      </c>
      <c r="F202" s="467"/>
    </row>
    <row r="203" spans="1:6" s="81" customFormat="1">
      <c r="A203" s="405" t="s">
        <v>445</v>
      </c>
      <c r="B203" s="997"/>
      <c r="C203" s="998"/>
      <c r="D203" s="999"/>
      <c r="E203" s="463"/>
      <c r="F203" s="119"/>
    </row>
    <row r="204" spans="1:6" s="81" customFormat="1">
      <c r="A204" s="313" t="s">
        <v>444</v>
      </c>
      <c r="B204" s="394">
        <v>0.6</v>
      </c>
      <c r="C204" s="116">
        <v>1</v>
      </c>
      <c r="D204" s="113">
        <v>0.4</v>
      </c>
      <c r="E204" s="114">
        <f>(B204+D204*C204)*2</f>
        <v>2</v>
      </c>
      <c r="F204" s="115"/>
    </row>
    <row r="205" spans="1:6" s="81" customFormat="1" ht="13.5" thickBot="1">
      <c r="A205" s="458" t="s">
        <v>137</v>
      </c>
      <c r="B205" s="445">
        <v>0.8</v>
      </c>
      <c r="C205" s="371">
        <v>1</v>
      </c>
      <c r="D205" s="218">
        <v>0.4</v>
      </c>
      <c r="E205" s="459">
        <f>B205+D205</f>
        <v>1.2000000000000002</v>
      </c>
      <c r="F205" s="467"/>
    </row>
    <row r="206" spans="1:6" s="81" customFormat="1" ht="25.5">
      <c r="A206" s="470" t="s">
        <v>517</v>
      </c>
      <c r="B206" s="990"/>
      <c r="C206" s="991"/>
      <c r="D206" s="992"/>
      <c r="E206" s="463"/>
      <c r="F206" s="119"/>
    </row>
    <row r="207" spans="1:6" s="81" customFormat="1" ht="13.5" thickBot="1">
      <c r="A207" s="357" t="s">
        <v>522</v>
      </c>
      <c r="B207" s="218">
        <v>2</v>
      </c>
      <c r="C207" s="371">
        <v>1</v>
      </c>
      <c r="D207" s="218">
        <v>0.4</v>
      </c>
      <c r="E207" s="114">
        <f>ROUNDDOWN((B207+D207)*C207*2,2)</f>
        <v>4.8</v>
      </c>
      <c r="F207" s="467"/>
    </row>
    <row r="208" spans="1:6" s="81" customFormat="1">
      <c r="A208" s="471" t="s">
        <v>516</v>
      </c>
      <c r="B208" s="990"/>
      <c r="C208" s="991"/>
      <c r="D208" s="992"/>
      <c r="E208" s="463"/>
      <c r="F208" s="119"/>
    </row>
    <row r="209" spans="1:6" s="81" customFormat="1" ht="13.5" thickBot="1">
      <c r="A209" s="357" t="s">
        <v>522</v>
      </c>
      <c r="B209" s="218">
        <v>2</v>
      </c>
      <c r="C209" s="371">
        <v>2</v>
      </c>
      <c r="D209" s="218">
        <v>0.4</v>
      </c>
      <c r="E209" s="114">
        <f>ROUNDDOWN((B209+D209)*C209*2,2)</f>
        <v>9.6</v>
      </c>
      <c r="F209" s="467"/>
    </row>
    <row r="210" spans="1:6" s="81" customFormat="1" ht="15" customHeight="1">
      <c r="A210" s="472" t="s">
        <v>394</v>
      </c>
      <c r="B210" s="990"/>
      <c r="C210" s="991"/>
      <c r="D210" s="992"/>
      <c r="E210" s="468"/>
      <c r="F210" s="469"/>
    </row>
    <row r="211" spans="1:6" s="81" customFormat="1">
      <c r="A211" s="110" t="s">
        <v>522</v>
      </c>
      <c r="B211" s="444">
        <v>2</v>
      </c>
      <c r="C211" s="116">
        <v>2</v>
      </c>
      <c r="D211" s="444">
        <v>0.4</v>
      </c>
      <c r="E211" s="114">
        <f>ROUNDDOWN((B211+D211)*C211*2,2)</f>
        <v>9.6</v>
      </c>
      <c r="F211" s="115"/>
    </row>
    <row r="212" spans="1:6" s="81" customFormat="1" ht="13.5" thickBot="1">
      <c r="A212" s="357" t="s">
        <v>137</v>
      </c>
      <c r="B212" s="445">
        <v>0.8</v>
      </c>
      <c r="C212" s="371">
        <v>1</v>
      </c>
      <c r="D212" s="218">
        <v>0.4</v>
      </c>
      <c r="E212" s="459">
        <f>B212+D212</f>
        <v>1.2000000000000002</v>
      </c>
      <c r="F212" s="467"/>
    </row>
    <row r="213" spans="1:6" s="81" customFormat="1">
      <c r="A213" s="471" t="s">
        <v>515</v>
      </c>
      <c r="B213" s="990"/>
      <c r="C213" s="991"/>
      <c r="D213" s="992"/>
      <c r="E213" s="463"/>
      <c r="F213" s="119"/>
    </row>
    <row r="214" spans="1:6" s="81" customFormat="1">
      <c r="A214" s="110" t="s">
        <v>522</v>
      </c>
      <c r="B214" s="444">
        <v>2</v>
      </c>
      <c r="C214" s="116">
        <v>2</v>
      </c>
      <c r="D214" s="444">
        <v>0.4</v>
      </c>
      <c r="E214" s="114">
        <f>ROUNDDOWN((B214+D214)*C214*2,2)</f>
        <v>9.6</v>
      </c>
      <c r="F214" s="115"/>
    </row>
    <row r="215" spans="1:6" s="81" customFormat="1" ht="13.5" thickBot="1">
      <c r="A215" s="357" t="s">
        <v>137</v>
      </c>
      <c r="B215" s="534">
        <v>0.8</v>
      </c>
      <c r="C215" s="371">
        <v>1</v>
      </c>
      <c r="D215" s="218">
        <v>0.4</v>
      </c>
      <c r="E215" s="459">
        <f>B215+D215</f>
        <v>1.2000000000000002</v>
      </c>
      <c r="F215" s="467"/>
    </row>
    <row r="216" spans="1:6" s="81" customFormat="1" ht="13.5" thickBot="1">
      <c r="A216" s="499" t="s">
        <v>558</v>
      </c>
      <c r="B216" s="373">
        <v>1.6</v>
      </c>
      <c r="C216" s="698">
        <v>1</v>
      </c>
      <c r="D216" s="373">
        <v>0.4</v>
      </c>
      <c r="E216" s="699">
        <f>((B216+D216)*C216)*2</f>
        <v>4</v>
      </c>
      <c r="F216" s="700"/>
    </row>
    <row r="217" spans="1:6" s="81" customFormat="1">
      <c r="A217" s="471" t="s">
        <v>697</v>
      </c>
      <c r="B217" s="997"/>
      <c r="C217" s="998"/>
      <c r="D217" s="999"/>
      <c r="E217" s="463"/>
      <c r="F217" s="119"/>
    </row>
    <row r="218" spans="1:6" s="81" customFormat="1">
      <c r="A218" s="679" t="s">
        <v>698</v>
      </c>
      <c r="B218" s="683">
        <v>2</v>
      </c>
      <c r="C218" s="116">
        <v>2</v>
      </c>
      <c r="D218" s="683">
        <v>0.4</v>
      </c>
      <c r="E218" s="114">
        <f>((B218+D218)*C218)*2</f>
        <v>9.6</v>
      </c>
      <c r="F218" s="115"/>
    </row>
    <row r="219" spans="1:6" s="81" customFormat="1" ht="13.5" thickBot="1">
      <c r="A219" s="357" t="s">
        <v>699</v>
      </c>
      <c r="B219" s="218">
        <v>1.6</v>
      </c>
      <c r="C219" s="371">
        <v>1</v>
      </c>
      <c r="D219" s="218">
        <v>0.4</v>
      </c>
      <c r="E219" s="114">
        <f>ROUNDDOWN((B219+D219)*C219*2,2)</f>
        <v>4</v>
      </c>
      <c r="F219" s="467"/>
    </row>
    <row r="220" spans="1:6" s="81" customFormat="1">
      <c r="A220" s="471" t="s">
        <v>700</v>
      </c>
      <c r="B220" s="997"/>
      <c r="C220" s="998"/>
      <c r="D220" s="999"/>
      <c r="E220" s="463"/>
      <c r="F220" s="119"/>
    </row>
    <row r="221" spans="1:6" s="81" customFormat="1">
      <c r="A221" s="679" t="s">
        <v>698</v>
      </c>
      <c r="B221" s="683">
        <v>2</v>
      </c>
      <c r="C221" s="116">
        <v>2</v>
      </c>
      <c r="D221" s="683">
        <v>0.4</v>
      </c>
      <c r="E221" s="114">
        <f>ROUNDDOWN((B221+D221)*C221*2,2)</f>
        <v>9.6</v>
      </c>
      <c r="F221" s="115"/>
    </row>
    <row r="222" spans="1:6" s="81" customFormat="1" ht="13.5" thickBot="1">
      <c r="A222" s="357" t="s">
        <v>699</v>
      </c>
      <c r="B222" s="218">
        <v>1.6</v>
      </c>
      <c r="C222" s="371">
        <v>1</v>
      </c>
      <c r="D222" s="218">
        <v>0.4</v>
      </c>
      <c r="E222" s="114">
        <f>ROUNDDOWN((B222+D222)*C222*2,2)</f>
        <v>4</v>
      </c>
      <c r="F222" s="467"/>
    </row>
    <row r="223" spans="1:6" s="81" customFormat="1">
      <c r="A223" s="471" t="s">
        <v>701</v>
      </c>
      <c r="B223" s="997"/>
      <c r="C223" s="998"/>
      <c r="D223" s="999"/>
      <c r="E223" s="463"/>
      <c r="F223" s="119"/>
    </row>
    <row r="224" spans="1:6" s="81" customFormat="1">
      <c r="A224" s="679" t="s">
        <v>698</v>
      </c>
      <c r="B224" s="683">
        <v>2</v>
      </c>
      <c r="C224" s="116">
        <v>2</v>
      </c>
      <c r="D224" s="683">
        <v>0.4</v>
      </c>
      <c r="E224" s="114">
        <f>ROUNDDOWN((B224+D224)*C224*2,2)</f>
        <v>9.6</v>
      </c>
      <c r="F224" s="115"/>
    </row>
    <row r="225" spans="1:6" s="81" customFormat="1" ht="13.5" thickBot="1">
      <c r="A225" s="357" t="s">
        <v>699</v>
      </c>
      <c r="B225" s="218">
        <v>1.6</v>
      </c>
      <c r="C225" s="371">
        <v>1</v>
      </c>
      <c r="D225" s="218">
        <v>0.4</v>
      </c>
      <c r="E225" s="114">
        <f>ROUNDDOWN((B225+D225)*C225*2,2)</f>
        <v>4</v>
      </c>
      <c r="F225" s="467"/>
    </row>
    <row r="226" spans="1:6" s="81" customFormat="1">
      <c r="A226" s="471" t="s">
        <v>393</v>
      </c>
      <c r="B226" s="997"/>
      <c r="C226" s="998"/>
      <c r="D226" s="999"/>
      <c r="E226" s="463"/>
      <c r="F226" s="119"/>
    </row>
    <row r="227" spans="1:6" s="81" customFormat="1">
      <c r="A227" s="679" t="s">
        <v>698</v>
      </c>
      <c r="B227" s="683">
        <v>2</v>
      </c>
      <c r="C227" s="116">
        <v>2</v>
      </c>
      <c r="D227" s="683">
        <v>0.4</v>
      </c>
      <c r="E227" s="114">
        <f>ROUNDDOWN((B227+D227)*C227*2,2)</f>
        <v>9.6</v>
      </c>
      <c r="F227" s="115"/>
    </row>
    <row r="228" spans="1:6" s="81" customFormat="1" ht="13.5" thickBot="1">
      <c r="A228" s="357" t="s">
        <v>699</v>
      </c>
      <c r="B228" s="218">
        <v>1.6</v>
      </c>
      <c r="C228" s="371">
        <v>1</v>
      </c>
      <c r="D228" s="218">
        <v>0.4</v>
      </c>
      <c r="E228" s="459">
        <f>ROUNDDOWN((B228+D228)*C228*2,2)</f>
        <v>4</v>
      </c>
      <c r="F228" s="467"/>
    </row>
    <row r="229" spans="1:6" s="81" customFormat="1" ht="78" customHeight="1" thickBot="1">
      <c r="A229" s="147">
        <v>87490</v>
      </c>
      <c r="B229" s="1087" t="s">
        <v>592</v>
      </c>
      <c r="C229" s="1088"/>
      <c r="D229" s="1089"/>
      <c r="E229" s="148" t="s">
        <v>123</v>
      </c>
      <c r="F229" s="149">
        <f>ROUNDDOWN(F231+F232+F233+F234+F235+F236+F237+F238+F239+F241+F242+F243+F244+F245+F240+F246+F247+F248+F249,2)</f>
        <v>214.3</v>
      </c>
    </row>
    <row r="230" spans="1:6" s="81" customFormat="1" ht="25.5">
      <c r="A230" s="82"/>
      <c r="B230" s="118" t="s">
        <v>119</v>
      </c>
      <c r="C230" s="119" t="s">
        <v>120</v>
      </c>
      <c r="D230" s="696" t="s">
        <v>571</v>
      </c>
      <c r="E230" s="119" t="s">
        <v>138</v>
      </c>
      <c r="F230" s="97" t="s">
        <v>13</v>
      </c>
    </row>
    <row r="231" spans="1:6" s="81" customFormat="1">
      <c r="A231" s="983" t="s">
        <v>441</v>
      </c>
      <c r="B231" s="407" t="s">
        <v>449</v>
      </c>
      <c r="C231" s="80">
        <v>7.26</v>
      </c>
      <c r="D231" s="80">
        <v>3.08</v>
      </c>
      <c r="E231" s="117">
        <f>ROUNDDOWN(1.1*2*2-2,2)</f>
        <v>2.4</v>
      </c>
      <c r="F231" s="316">
        <f>ROUNDDOWN((C231*D231)-E231,2)</f>
        <v>19.96</v>
      </c>
    </row>
    <row r="232" spans="1:6" s="81" customFormat="1" ht="25.5">
      <c r="A232" s="984"/>
      <c r="B232" s="682" t="s">
        <v>450</v>
      </c>
      <c r="C232" s="866">
        <v>19.61</v>
      </c>
      <c r="D232" s="867"/>
      <c r="E232" s="117">
        <f>ROUNDDOWN(1.1*1.6*2-2,2)</f>
        <v>1.52</v>
      </c>
      <c r="F232" s="316">
        <f>ROUNDDOWN(C232-E232,2)</f>
        <v>18.09</v>
      </c>
    </row>
    <row r="233" spans="1:6" s="81" customFormat="1" ht="26.25" thickBot="1">
      <c r="A233" s="985"/>
      <c r="B233" s="701" t="s">
        <v>196</v>
      </c>
      <c r="C233" s="868">
        <v>17.87</v>
      </c>
      <c r="D233" s="869"/>
      <c r="E233" s="368"/>
      <c r="F233" s="366">
        <f>C233-E233</f>
        <v>17.87</v>
      </c>
    </row>
    <row r="234" spans="1:6" s="81" customFormat="1" ht="13.5" customHeight="1" thickBot="1">
      <c r="A234" s="408" t="s">
        <v>445</v>
      </c>
      <c r="B234" s="421" t="s">
        <v>451</v>
      </c>
      <c r="C234" s="373">
        <v>1.6</v>
      </c>
      <c r="D234" s="373">
        <v>3.27</v>
      </c>
      <c r="E234" s="374">
        <f>ROUNDDOWN((0.8*2.1)+(0.6*0.7)-2,2)</f>
        <v>0.1</v>
      </c>
      <c r="F234" s="375">
        <f>ROUNDDOWN((C234*D234)-E234,2)</f>
        <v>5.13</v>
      </c>
    </row>
    <row r="235" spans="1:6" s="81" customFormat="1" ht="12.75" customHeight="1">
      <c r="A235" s="1036" t="s">
        <v>452</v>
      </c>
      <c r="B235" s="341" t="s">
        <v>449</v>
      </c>
      <c r="C235" s="372">
        <v>3.59</v>
      </c>
      <c r="D235" s="92">
        <v>3.08</v>
      </c>
      <c r="E235" s="367"/>
      <c r="F235" s="104">
        <f>ROUNDDOWN(D235*C235,2)</f>
        <v>11.05</v>
      </c>
    </row>
    <row r="236" spans="1:6" s="81" customFormat="1" ht="15" customHeight="1">
      <c r="A236" s="1036"/>
      <c r="B236" s="110" t="s">
        <v>139</v>
      </c>
      <c r="C236" s="120">
        <v>3.66</v>
      </c>
      <c r="D236" s="80">
        <v>2.98</v>
      </c>
      <c r="E236" s="122"/>
      <c r="F236" s="104">
        <f t="shared" ref="F236:F249" si="7">ROUNDDOWN(D236*C236,2)</f>
        <v>10.9</v>
      </c>
    </row>
    <row r="237" spans="1:6" s="81" customFormat="1" ht="15.75" customHeight="1">
      <c r="A237" s="1036"/>
      <c r="B237" s="110" t="s">
        <v>519</v>
      </c>
      <c r="C237" s="120">
        <v>3.66</v>
      </c>
      <c r="D237" s="80">
        <v>2.98</v>
      </c>
      <c r="E237" s="122"/>
      <c r="F237" s="104">
        <f t="shared" si="7"/>
        <v>10.9</v>
      </c>
    </row>
    <row r="238" spans="1:6" s="81" customFormat="1" ht="13.5" customHeight="1" thickBot="1">
      <c r="A238" s="1036"/>
      <c r="B238" s="300" t="s">
        <v>520</v>
      </c>
      <c r="C238" s="160">
        <v>3.66</v>
      </c>
      <c r="D238" s="88">
        <v>2.98</v>
      </c>
      <c r="E238" s="123"/>
      <c r="F238" s="218">
        <f t="shared" si="7"/>
        <v>10.9</v>
      </c>
    </row>
    <row r="239" spans="1:6" s="81" customFormat="1" ht="25.5">
      <c r="A239" s="1059" t="s">
        <v>448</v>
      </c>
      <c r="B239" s="505" t="s">
        <v>453</v>
      </c>
      <c r="C239" s="409">
        <f>2.6+0.4</f>
        <v>3</v>
      </c>
      <c r="D239" s="410">
        <v>0.55000000000000004</v>
      </c>
      <c r="E239" s="381"/>
      <c r="F239" s="104">
        <f t="shared" si="7"/>
        <v>1.65</v>
      </c>
    </row>
    <row r="240" spans="1:6" s="81" customFormat="1" ht="15.75" customHeight="1" thickBot="1">
      <c r="A240" s="1060"/>
      <c r="B240" s="357" t="s">
        <v>570</v>
      </c>
      <c r="C240" s="411">
        <v>2.5</v>
      </c>
      <c r="D240" s="102">
        <v>0.4</v>
      </c>
      <c r="E240" s="213"/>
      <c r="F240" s="218">
        <f t="shared" si="7"/>
        <v>1</v>
      </c>
    </row>
    <row r="241" spans="1:6" s="81" customFormat="1">
      <c r="A241" s="960" t="s">
        <v>446</v>
      </c>
      <c r="B241" s="506" t="s">
        <v>454</v>
      </c>
      <c r="C241" s="372">
        <v>0.73</v>
      </c>
      <c r="D241" s="92">
        <v>2.98</v>
      </c>
      <c r="E241" s="367"/>
      <c r="F241" s="104">
        <f t="shared" si="7"/>
        <v>2.17</v>
      </c>
    </row>
    <row r="242" spans="1:6" s="81" customFormat="1" ht="13.5" thickBot="1">
      <c r="A242" s="1061"/>
      <c r="B242" s="357" t="s">
        <v>543</v>
      </c>
      <c r="C242" s="411">
        <v>3.95</v>
      </c>
      <c r="D242" s="102">
        <v>0.73</v>
      </c>
      <c r="E242" s="213"/>
      <c r="F242" s="218">
        <f t="shared" si="7"/>
        <v>2.88</v>
      </c>
    </row>
    <row r="243" spans="1:6" s="81" customFormat="1" ht="13.5" thickBot="1">
      <c r="A243" s="1062" t="s">
        <v>455</v>
      </c>
      <c r="B243" s="1063"/>
      <c r="C243" s="413">
        <v>14.05</v>
      </c>
      <c r="D243" s="414">
        <v>4.18</v>
      </c>
      <c r="E243" s="415"/>
      <c r="F243" s="373">
        <f t="shared" si="7"/>
        <v>58.72</v>
      </c>
    </row>
    <row r="244" spans="1:6" s="81" customFormat="1" ht="13.5" thickBot="1">
      <c r="A244" s="986" t="s">
        <v>456</v>
      </c>
      <c r="B244" s="987"/>
      <c r="C244" s="413">
        <f>6.26+13.92</f>
        <v>20.18</v>
      </c>
      <c r="D244" s="414">
        <v>0.42</v>
      </c>
      <c r="E244" s="415"/>
      <c r="F244" s="104">
        <f t="shared" si="7"/>
        <v>8.4700000000000006</v>
      </c>
    </row>
    <row r="245" spans="1:6" s="81" customFormat="1" ht="26.25" thickBot="1">
      <c r="A245" s="507" t="s">
        <v>518</v>
      </c>
      <c r="B245" s="508" t="s">
        <v>521</v>
      </c>
      <c r="C245" s="1042" t="s">
        <v>140</v>
      </c>
      <c r="D245" s="1043"/>
      <c r="E245" s="415"/>
      <c r="F245" s="373">
        <f>(3.95-1.68-2.2)+(6.7-1.68-2.2)+(3.94*2.96)</f>
        <v>14.5524</v>
      </c>
    </row>
    <row r="246" spans="1:6" s="81" customFormat="1" ht="13.5" thickBot="1">
      <c r="A246" s="507" t="s">
        <v>588</v>
      </c>
      <c r="B246" s="508"/>
      <c r="C246" s="413">
        <v>6.31</v>
      </c>
      <c r="D246" s="413">
        <v>1.38</v>
      </c>
      <c r="E246" s="415"/>
      <c r="F246" s="373">
        <f t="shared" si="7"/>
        <v>8.6999999999999993</v>
      </c>
    </row>
    <row r="247" spans="1:6" s="81" customFormat="1">
      <c r="A247" s="995" t="s">
        <v>558</v>
      </c>
      <c r="B247" s="537" t="s">
        <v>611</v>
      </c>
      <c r="C247" s="372">
        <v>1.1000000000000001</v>
      </c>
      <c r="D247" s="372">
        <v>3</v>
      </c>
      <c r="E247" s="367"/>
      <c r="F247" s="104">
        <f t="shared" si="7"/>
        <v>3.3</v>
      </c>
    </row>
    <row r="248" spans="1:6" s="81" customFormat="1" ht="15.75" customHeight="1">
      <c r="A248" s="996"/>
      <c r="B248" s="453" t="s">
        <v>565</v>
      </c>
      <c r="C248" s="676">
        <v>2.38</v>
      </c>
      <c r="D248" s="676">
        <v>3</v>
      </c>
      <c r="E248" s="122"/>
      <c r="F248" s="683">
        <f t="shared" si="7"/>
        <v>7.14</v>
      </c>
    </row>
    <row r="249" spans="1:6" s="81" customFormat="1" ht="13.5" thickBot="1">
      <c r="A249" s="996"/>
      <c r="B249" s="536" t="s">
        <v>199</v>
      </c>
      <c r="C249" s="160">
        <v>0.84</v>
      </c>
      <c r="D249" s="160">
        <v>1.1000000000000001</v>
      </c>
      <c r="E249" s="123"/>
      <c r="F249" s="113">
        <f t="shared" si="7"/>
        <v>0.92</v>
      </c>
    </row>
    <row r="250" spans="1:6" s="81" customFormat="1" ht="26.25" customHeight="1" thickBot="1">
      <c r="A250" s="74">
        <v>79627</v>
      </c>
      <c r="B250" s="893" t="s">
        <v>480</v>
      </c>
      <c r="C250" s="894"/>
      <c r="D250" s="895"/>
      <c r="E250" s="75" t="s">
        <v>123</v>
      </c>
      <c r="F250" s="76">
        <f>ROUNDDOWN(F252+F253,2)</f>
        <v>5.88</v>
      </c>
    </row>
    <row r="251" spans="1:6" s="81" customFormat="1">
      <c r="A251" s="429"/>
      <c r="B251" s="118" t="s">
        <v>119</v>
      </c>
      <c r="C251" s="119" t="s">
        <v>120</v>
      </c>
      <c r="D251" s="119" t="s">
        <v>126</v>
      </c>
      <c r="E251" s="157" t="s">
        <v>23</v>
      </c>
      <c r="F251" s="417" t="s">
        <v>13</v>
      </c>
    </row>
    <row r="252" spans="1:6" s="81" customFormat="1">
      <c r="A252" s="429"/>
      <c r="B252" s="431" t="s">
        <v>442</v>
      </c>
      <c r="C252" s="120">
        <v>0.7</v>
      </c>
      <c r="D252" s="80">
        <v>1.4</v>
      </c>
      <c r="E252" s="122">
        <v>3</v>
      </c>
      <c r="F252" s="418">
        <f>ROUNDDOWN(E252*D252*C252,2)</f>
        <v>2.94</v>
      </c>
    </row>
    <row r="253" spans="1:6" s="81" customFormat="1" ht="13.5" thickBot="1">
      <c r="A253" s="430"/>
      <c r="B253" s="432" t="s">
        <v>443</v>
      </c>
      <c r="C253" s="120">
        <v>0.7</v>
      </c>
      <c r="D253" s="80">
        <v>1.4</v>
      </c>
      <c r="E253" s="123">
        <v>3</v>
      </c>
      <c r="F253" s="683">
        <f>ROUNDDOWN(E253*D253*C253,2)</f>
        <v>2.94</v>
      </c>
    </row>
    <row r="254" spans="1:6" s="81" customFormat="1" ht="13.5" thickBot="1">
      <c r="A254" s="73">
        <v>6</v>
      </c>
      <c r="B254" s="890" t="s">
        <v>68</v>
      </c>
      <c r="C254" s="891"/>
      <c r="D254" s="891"/>
      <c r="E254" s="891"/>
      <c r="F254" s="892"/>
    </row>
    <row r="255" spans="1:6" s="81" customFormat="1" ht="27" customHeight="1" thickBot="1">
      <c r="A255" s="74" t="s">
        <v>403</v>
      </c>
      <c r="B255" s="871" t="s">
        <v>404</v>
      </c>
      <c r="C255" s="871"/>
      <c r="D255" s="871"/>
      <c r="E255" s="75" t="s">
        <v>69</v>
      </c>
      <c r="F255" s="76">
        <v>1</v>
      </c>
    </row>
    <row r="256" spans="1:6" s="81" customFormat="1" ht="13.5" thickBot="1">
      <c r="A256" s="302"/>
      <c r="B256" s="341" t="s">
        <v>457</v>
      </c>
      <c r="C256" s="77"/>
      <c r="D256" s="77"/>
      <c r="E256" s="77"/>
      <c r="F256" s="97"/>
    </row>
    <row r="257" spans="1:6" s="81" customFormat="1" ht="27" customHeight="1" thickBot="1">
      <c r="A257" s="361" t="s">
        <v>424</v>
      </c>
      <c r="B257" s="871" t="s">
        <v>425</v>
      </c>
      <c r="C257" s="871"/>
      <c r="D257" s="871"/>
      <c r="E257" s="75" t="s">
        <v>69</v>
      </c>
      <c r="F257" s="362">
        <v>5</v>
      </c>
    </row>
    <row r="258" spans="1:6" s="81" customFormat="1" ht="28.5" customHeight="1" thickBot="1">
      <c r="A258" s="96"/>
      <c r="B258" s="1054" t="s">
        <v>523</v>
      </c>
      <c r="C258" s="1055"/>
      <c r="D258" s="1055"/>
      <c r="E258" s="1055"/>
      <c r="F258" s="1056"/>
    </row>
    <row r="259" spans="1:6" s="81" customFormat="1" ht="27" customHeight="1" thickBot="1">
      <c r="A259" s="361" t="s">
        <v>406</v>
      </c>
      <c r="B259" s="871" t="s">
        <v>407</v>
      </c>
      <c r="C259" s="871"/>
      <c r="D259" s="871"/>
      <c r="E259" s="75" t="s">
        <v>69</v>
      </c>
      <c r="F259" s="362">
        <v>3</v>
      </c>
    </row>
    <row r="260" spans="1:6" s="81" customFormat="1" ht="13.5" thickBot="1">
      <c r="A260" s="93"/>
      <c r="B260" s="93" t="s">
        <v>595</v>
      </c>
      <c r="C260" s="93"/>
      <c r="D260" s="93"/>
      <c r="E260" s="93"/>
      <c r="F260" s="93"/>
    </row>
    <row r="261" spans="1:6" s="81" customFormat="1" ht="27" customHeight="1" thickBot="1">
      <c r="A261" s="361" t="s">
        <v>408</v>
      </c>
      <c r="B261" s="871" t="s">
        <v>409</v>
      </c>
      <c r="C261" s="871"/>
      <c r="D261" s="871"/>
      <c r="E261" s="75" t="s">
        <v>69</v>
      </c>
      <c r="F261" s="362">
        <v>3</v>
      </c>
    </row>
    <row r="262" spans="1:6" s="81" customFormat="1" ht="13.5" thickBot="1">
      <c r="A262" s="93"/>
      <c r="B262" s="93" t="s">
        <v>596</v>
      </c>
      <c r="C262" s="93"/>
      <c r="D262" s="93"/>
      <c r="E262" s="93"/>
      <c r="F262" s="93"/>
    </row>
    <row r="263" spans="1:6" s="81" customFormat="1" ht="13.5" thickBot="1">
      <c r="A263" s="73">
        <v>7</v>
      </c>
      <c r="B263" s="890" t="s">
        <v>70</v>
      </c>
      <c r="C263" s="891"/>
      <c r="D263" s="891"/>
      <c r="E263" s="891"/>
      <c r="F263" s="892"/>
    </row>
    <row r="264" spans="1:6" s="81" customFormat="1" ht="27.75" customHeight="1" thickBot="1">
      <c r="A264" s="74" t="s">
        <v>225</v>
      </c>
      <c r="B264" s="871" t="s">
        <v>226</v>
      </c>
      <c r="C264" s="871"/>
      <c r="D264" s="871"/>
      <c r="E264" s="156" t="s">
        <v>123</v>
      </c>
      <c r="F264" s="76">
        <f>ROUNDDOWN(F266+F267+F268+F269+F270+F271+F272+F273+F274+F275+F276+F277+F278+F279+F280,2)</f>
        <v>49.72</v>
      </c>
    </row>
    <row r="265" spans="1:6" s="81" customFormat="1">
      <c r="A265" s="96"/>
      <c r="B265" s="128" t="s">
        <v>119</v>
      </c>
      <c r="C265" s="77" t="s">
        <v>120</v>
      </c>
      <c r="D265" s="108" t="s">
        <v>126</v>
      </c>
      <c r="E265" s="108" t="s">
        <v>23</v>
      </c>
      <c r="F265" s="77" t="s">
        <v>13</v>
      </c>
    </row>
    <row r="266" spans="1:6" s="81" customFormat="1">
      <c r="A266" s="1082" t="s">
        <v>441</v>
      </c>
      <c r="B266" s="110" t="s">
        <v>150</v>
      </c>
      <c r="C266" s="448">
        <v>1.6</v>
      </c>
      <c r="D266" s="125">
        <v>1.1000000000000001</v>
      </c>
      <c r="E266" s="126">
        <v>2</v>
      </c>
      <c r="F266" s="127">
        <f>ROUNDDOWN(C266*D266*E266,2)</f>
        <v>3.52</v>
      </c>
    </row>
    <row r="267" spans="1:6" s="81" customFormat="1">
      <c r="A267" s="1082"/>
      <c r="B267" s="110" t="s">
        <v>151</v>
      </c>
      <c r="C267" s="448">
        <v>2</v>
      </c>
      <c r="D267" s="125">
        <v>1.1000000000000001</v>
      </c>
      <c r="E267" s="126">
        <v>2</v>
      </c>
      <c r="F267" s="692">
        <f t="shared" ref="F267:F280" si="8">ROUNDDOWN(C267*D267*E267,2)</f>
        <v>4.4000000000000004</v>
      </c>
    </row>
    <row r="268" spans="1:6" s="81" customFormat="1" ht="25.5">
      <c r="A268" s="480"/>
      <c r="B268" s="480" t="s">
        <v>517</v>
      </c>
      <c r="C268" s="448">
        <v>2</v>
      </c>
      <c r="D268" s="125">
        <v>1.1000000000000001</v>
      </c>
      <c r="E268" s="126">
        <v>1</v>
      </c>
      <c r="F268" s="692">
        <f t="shared" si="8"/>
        <v>2.2000000000000002</v>
      </c>
    </row>
    <row r="269" spans="1:6" s="81" customFormat="1">
      <c r="A269" s="478"/>
      <c r="B269" s="478" t="s">
        <v>516</v>
      </c>
      <c r="C269" s="448">
        <v>2</v>
      </c>
      <c r="D269" s="125">
        <v>1.1000000000000001</v>
      </c>
      <c r="E269" s="126">
        <v>2</v>
      </c>
      <c r="F269" s="692">
        <f t="shared" si="8"/>
        <v>4.4000000000000004</v>
      </c>
    </row>
    <row r="270" spans="1:6" s="81" customFormat="1">
      <c r="A270" s="478"/>
      <c r="B270" s="478" t="s">
        <v>394</v>
      </c>
      <c r="C270" s="448">
        <v>2</v>
      </c>
      <c r="D270" s="125">
        <v>1.1000000000000001</v>
      </c>
      <c r="E270" s="126">
        <v>2</v>
      </c>
      <c r="F270" s="692">
        <f t="shared" si="8"/>
        <v>4.4000000000000004</v>
      </c>
    </row>
    <row r="271" spans="1:6" s="81" customFormat="1">
      <c r="A271" s="479"/>
      <c r="B271" s="479" t="s">
        <v>515</v>
      </c>
      <c r="C271" s="113">
        <v>2</v>
      </c>
      <c r="D271" s="215">
        <v>1.1000000000000001</v>
      </c>
      <c r="E271" s="216">
        <v>2</v>
      </c>
      <c r="F271" s="692">
        <f t="shared" si="8"/>
        <v>4.4000000000000004</v>
      </c>
    </row>
    <row r="272" spans="1:6" s="81" customFormat="1">
      <c r="A272" s="993" t="s">
        <v>697</v>
      </c>
      <c r="B272" s="679" t="s">
        <v>150</v>
      </c>
      <c r="C272" s="683">
        <v>1.6</v>
      </c>
      <c r="D272" s="125">
        <v>1.1000000000000001</v>
      </c>
      <c r="E272" s="126">
        <v>1</v>
      </c>
      <c r="F272" s="692">
        <f t="shared" si="8"/>
        <v>1.76</v>
      </c>
    </row>
    <row r="273" spans="1:6" s="81" customFormat="1">
      <c r="A273" s="994"/>
      <c r="B273" s="679" t="s">
        <v>151</v>
      </c>
      <c r="C273" s="683">
        <v>2</v>
      </c>
      <c r="D273" s="125">
        <v>1.1000000000000001</v>
      </c>
      <c r="E273" s="126">
        <v>2</v>
      </c>
      <c r="F273" s="692">
        <f t="shared" si="8"/>
        <v>4.4000000000000004</v>
      </c>
    </row>
    <row r="274" spans="1:6" s="81" customFormat="1">
      <c r="A274" s="993" t="s">
        <v>700</v>
      </c>
      <c r="B274" s="679" t="s">
        <v>150</v>
      </c>
      <c r="C274" s="683">
        <v>1.6</v>
      </c>
      <c r="D274" s="125">
        <v>1.1000000000000001</v>
      </c>
      <c r="E274" s="126">
        <v>1</v>
      </c>
      <c r="F274" s="692">
        <f t="shared" si="8"/>
        <v>1.76</v>
      </c>
    </row>
    <row r="275" spans="1:6" s="81" customFormat="1">
      <c r="A275" s="994"/>
      <c r="B275" s="679" t="s">
        <v>151</v>
      </c>
      <c r="C275" s="683">
        <v>2</v>
      </c>
      <c r="D275" s="125">
        <v>1.1000000000000001</v>
      </c>
      <c r="E275" s="126">
        <v>2</v>
      </c>
      <c r="F275" s="692">
        <f t="shared" si="8"/>
        <v>4.4000000000000004</v>
      </c>
    </row>
    <row r="276" spans="1:6" s="81" customFormat="1">
      <c r="A276" s="993" t="s">
        <v>701</v>
      </c>
      <c r="B276" s="679" t="s">
        <v>150</v>
      </c>
      <c r="C276" s="683">
        <v>1.6</v>
      </c>
      <c r="D276" s="125">
        <v>1.1000000000000001</v>
      </c>
      <c r="E276" s="126">
        <v>1</v>
      </c>
      <c r="F276" s="692">
        <f t="shared" si="8"/>
        <v>1.76</v>
      </c>
    </row>
    <row r="277" spans="1:6" s="81" customFormat="1">
      <c r="A277" s="994"/>
      <c r="B277" s="679" t="s">
        <v>151</v>
      </c>
      <c r="C277" s="683">
        <v>2</v>
      </c>
      <c r="D277" s="125">
        <v>1.1000000000000001</v>
      </c>
      <c r="E277" s="126">
        <v>2</v>
      </c>
      <c r="F277" s="692">
        <f t="shared" si="8"/>
        <v>4.4000000000000004</v>
      </c>
    </row>
    <row r="278" spans="1:6" s="81" customFormat="1">
      <c r="A278" s="993" t="s">
        <v>393</v>
      </c>
      <c r="B278" s="679" t="s">
        <v>150</v>
      </c>
      <c r="C278" s="683">
        <v>1.6</v>
      </c>
      <c r="D278" s="125">
        <v>1.1000000000000001</v>
      </c>
      <c r="E278" s="126">
        <v>1</v>
      </c>
      <c r="F278" s="692">
        <f t="shared" si="8"/>
        <v>1.76</v>
      </c>
    </row>
    <row r="279" spans="1:6" s="81" customFormat="1">
      <c r="A279" s="994"/>
      <c r="B279" s="679" t="s">
        <v>151</v>
      </c>
      <c r="C279" s="683">
        <v>2</v>
      </c>
      <c r="D279" s="125">
        <v>1.1000000000000001</v>
      </c>
      <c r="E279" s="126">
        <v>2</v>
      </c>
      <c r="F279" s="692">
        <f t="shared" si="8"/>
        <v>4.4000000000000004</v>
      </c>
    </row>
    <row r="280" spans="1:6" s="81" customFormat="1" ht="13.5" thickBot="1">
      <c r="A280" s="479"/>
      <c r="B280" s="479" t="s">
        <v>558</v>
      </c>
      <c r="C280" s="113">
        <v>1.6</v>
      </c>
      <c r="D280" s="215">
        <v>1.1000000000000001</v>
      </c>
      <c r="E280" s="216">
        <v>1</v>
      </c>
      <c r="F280" s="692">
        <f t="shared" si="8"/>
        <v>1.76</v>
      </c>
    </row>
    <row r="281" spans="1:6" s="81" customFormat="1" ht="13.5" thickBot="1">
      <c r="A281" s="74">
        <v>68052</v>
      </c>
      <c r="B281" s="871" t="s">
        <v>460</v>
      </c>
      <c r="C281" s="871"/>
      <c r="D281" s="871"/>
      <c r="E281" s="156" t="s">
        <v>123</v>
      </c>
      <c r="F281" s="76">
        <f>F283</f>
        <v>0.42</v>
      </c>
    </row>
    <row r="282" spans="1:6" s="81" customFormat="1">
      <c r="A282" s="96"/>
      <c r="B282" s="128" t="s">
        <v>119</v>
      </c>
      <c r="C282" s="77" t="s">
        <v>120</v>
      </c>
      <c r="D282" s="108" t="s">
        <v>126</v>
      </c>
      <c r="E282" s="108" t="s">
        <v>23</v>
      </c>
      <c r="F282" s="77" t="s">
        <v>13</v>
      </c>
    </row>
    <row r="283" spans="1:6" s="81" customFormat="1" ht="13.5" thickBot="1">
      <c r="A283" s="87"/>
      <c r="B283" s="159" t="s">
        <v>445</v>
      </c>
      <c r="C283" s="113">
        <v>0.6</v>
      </c>
      <c r="D283" s="215">
        <v>0.7</v>
      </c>
      <c r="E283" s="216">
        <v>1</v>
      </c>
      <c r="F283" s="217">
        <f>ROUNDDOWN(E283*D283*C283,2)</f>
        <v>0.42</v>
      </c>
    </row>
    <row r="284" spans="1:6" s="81" customFormat="1" ht="26.25" customHeight="1" thickBot="1">
      <c r="A284" s="74">
        <v>71701</v>
      </c>
      <c r="B284" s="871" t="s">
        <v>461</v>
      </c>
      <c r="C284" s="871"/>
      <c r="D284" s="871"/>
      <c r="E284" s="156" t="s">
        <v>123</v>
      </c>
      <c r="F284" s="76">
        <f>F286+F287</f>
        <v>1.5</v>
      </c>
    </row>
    <row r="285" spans="1:6" s="81" customFormat="1">
      <c r="A285" s="96"/>
      <c r="B285" s="128" t="s">
        <v>119</v>
      </c>
      <c r="C285" s="77" t="s">
        <v>120</v>
      </c>
      <c r="D285" s="108" t="s">
        <v>126</v>
      </c>
      <c r="E285" s="108" t="s">
        <v>23</v>
      </c>
      <c r="F285" s="77" t="s">
        <v>13</v>
      </c>
    </row>
    <row r="286" spans="1:6" s="81" customFormat="1">
      <c r="A286" s="110"/>
      <c r="B286" s="158" t="s">
        <v>442</v>
      </c>
      <c r="C286" s="125">
        <v>1.25</v>
      </c>
      <c r="D286" s="126">
        <v>0.6</v>
      </c>
      <c r="E286" s="127">
        <v>1</v>
      </c>
      <c r="F286" s="217">
        <f>ROUNDDOWN(E286*D286*C286,2)</f>
        <v>0.75</v>
      </c>
    </row>
    <row r="287" spans="1:6" s="81" customFormat="1" ht="13.5" thickBot="1">
      <c r="A287" s="110"/>
      <c r="B287" s="158" t="s">
        <v>443</v>
      </c>
      <c r="C287" s="125">
        <v>1.25</v>
      </c>
      <c r="D287" s="126">
        <v>0.6</v>
      </c>
      <c r="E287" s="127">
        <v>1</v>
      </c>
      <c r="F287" s="217">
        <f>ROUNDDOWN(E287*D287*C287,2)</f>
        <v>0.75</v>
      </c>
    </row>
    <row r="288" spans="1:6" s="81" customFormat="1" ht="13.5" thickBot="1">
      <c r="A288" s="74">
        <v>72116</v>
      </c>
      <c r="B288" s="871" t="s">
        <v>463</v>
      </c>
      <c r="C288" s="871"/>
      <c r="D288" s="871"/>
      <c r="E288" s="156" t="s">
        <v>123</v>
      </c>
      <c r="F288" s="76">
        <f>ROUNDDOWN(F290+F291+F292,2)</f>
        <v>1.92</v>
      </c>
    </row>
    <row r="289" spans="1:6" s="81" customFormat="1">
      <c r="A289" s="110"/>
      <c r="B289" s="128" t="s">
        <v>119</v>
      </c>
      <c r="C289" s="77" t="s">
        <v>120</v>
      </c>
      <c r="D289" s="108" t="s">
        <v>126</v>
      </c>
      <c r="E289" s="108" t="s">
        <v>23</v>
      </c>
      <c r="F289" s="77" t="s">
        <v>13</v>
      </c>
    </row>
    <row r="290" spans="1:6" s="81" customFormat="1">
      <c r="A290" s="110"/>
      <c r="B290" s="158" t="s">
        <v>445</v>
      </c>
      <c r="C290" s="125">
        <v>0.6</v>
      </c>
      <c r="D290" s="126">
        <v>0.7</v>
      </c>
      <c r="E290" s="127">
        <v>1</v>
      </c>
      <c r="F290" s="217">
        <f>ROUNDDOWN(E290*D290*C290,2)</f>
        <v>0.42</v>
      </c>
    </row>
    <row r="291" spans="1:6" s="81" customFormat="1">
      <c r="A291" s="110"/>
      <c r="B291" s="158" t="s">
        <v>442</v>
      </c>
      <c r="C291" s="125">
        <v>1.25</v>
      </c>
      <c r="D291" s="126">
        <v>0.6</v>
      </c>
      <c r="E291" s="127">
        <v>1</v>
      </c>
      <c r="F291" s="217">
        <f>ROUNDDOWN(E291*D291*C291,2)</f>
        <v>0.75</v>
      </c>
    </row>
    <row r="292" spans="1:6" s="81" customFormat="1" ht="13.5" thickBot="1">
      <c r="A292" s="110"/>
      <c r="B292" s="158" t="s">
        <v>443</v>
      </c>
      <c r="C292" s="125">
        <v>1.25</v>
      </c>
      <c r="D292" s="126">
        <v>0.6</v>
      </c>
      <c r="E292" s="127">
        <v>1</v>
      </c>
      <c r="F292" s="217">
        <f>ROUNDDOWN(E292*D292*C292,2)</f>
        <v>0.75</v>
      </c>
    </row>
    <row r="293" spans="1:6" s="81" customFormat="1" ht="13.5" thickBot="1">
      <c r="A293" s="73">
        <v>8</v>
      </c>
      <c r="B293" s="890" t="s">
        <v>71</v>
      </c>
      <c r="C293" s="891"/>
      <c r="D293" s="891"/>
      <c r="E293" s="891"/>
      <c r="F293" s="892"/>
    </row>
    <row r="294" spans="1:6" s="81" customFormat="1" ht="42.75" customHeight="1" thickBot="1">
      <c r="A294" s="74">
        <v>72083</v>
      </c>
      <c r="B294" s="871" t="s">
        <v>426</v>
      </c>
      <c r="C294" s="871"/>
      <c r="D294" s="871"/>
      <c r="E294" s="75" t="s">
        <v>123</v>
      </c>
      <c r="F294" s="76">
        <f>ROUNDDOWN(E296+E297+E298,2)</f>
        <v>363.29</v>
      </c>
    </row>
    <row r="295" spans="1:6" s="81" customFormat="1">
      <c r="A295" s="690"/>
      <c r="B295" s="674" t="s">
        <v>119</v>
      </c>
      <c r="C295" s="674" t="s">
        <v>120</v>
      </c>
      <c r="D295" s="104" t="s">
        <v>130</v>
      </c>
      <c r="E295" s="118" t="s">
        <v>13</v>
      </c>
      <c r="F295" s="223"/>
    </row>
    <row r="296" spans="1:6" s="81" customFormat="1">
      <c r="A296" s="351"/>
      <c r="B296" s="679" t="s">
        <v>696</v>
      </c>
      <c r="C296" s="155">
        <v>14.65</v>
      </c>
      <c r="D296" s="80">
        <v>6.86</v>
      </c>
      <c r="E296" s="80">
        <f>ROUNDDOWN(D296*C296,2)</f>
        <v>100.49</v>
      </c>
      <c r="F296" s="150"/>
    </row>
    <row r="297" spans="1:6" s="81" customFormat="1">
      <c r="A297" s="351"/>
      <c r="B297" s="679" t="s">
        <v>689</v>
      </c>
      <c r="C297" s="687">
        <v>10.48</v>
      </c>
      <c r="D297" s="80">
        <v>12.41</v>
      </c>
      <c r="E297" s="80">
        <f t="shared" ref="E297" si="9">ROUNDDOWN(D297*C297,2)</f>
        <v>130.05000000000001</v>
      </c>
      <c r="F297" s="150"/>
    </row>
    <row r="298" spans="1:6" s="81" customFormat="1" ht="13.5" thickBot="1">
      <c r="A298" s="533"/>
      <c r="B298" s="300" t="s">
        <v>690</v>
      </c>
      <c r="C298" s="1083" t="s">
        <v>140</v>
      </c>
      <c r="D298" s="1084"/>
      <c r="E298" s="88">
        <v>132.75</v>
      </c>
      <c r="F298" s="151"/>
    </row>
    <row r="299" spans="1:6" s="81" customFormat="1" ht="54.75" customHeight="1" thickBot="1">
      <c r="A299" s="74" t="s">
        <v>373</v>
      </c>
      <c r="B299" s="871" t="s">
        <v>374</v>
      </c>
      <c r="C299" s="871"/>
      <c r="D299" s="871"/>
      <c r="E299" s="75" t="s">
        <v>123</v>
      </c>
      <c r="F299" s="76">
        <f>ROUNDDOWN(E301+E302+E303+E304+E305+E306+E307+E308,2)</f>
        <v>555.95000000000005</v>
      </c>
    </row>
    <row r="300" spans="1:6" s="81" customFormat="1">
      <c r="A300" s="302"/>
      <c r="B300" s="128" t="s">
        <v>119</v>
      </c>
      <c r="C300" s="77" t="s">
        <v>120</v>
      </c>
      <c r="D300" s="84" t="s">
        <v>130</v>
      </c>
      <c r="E300" s="157" t="s">
        <v>13</v>
      </c>
      <c r="F300" s="129"/>
    </row>
    <row r="301" spans="1:6" s="81" customFormat="1">
      <c r="A301" s="124"/>
      <c r="B301" s="672" t="s">
        <v>696</v>
      </c>
      <c r="C301" s="80">
        <v>14.65</v>
      </c>
      <c r="D301" s="80">
        <v>6.86</v>
      </c>
      <c r="E301" s="80">
        <f>ROUNDDOWN(D301*C301,2)</f>
        <v>100.49</v>
      </c>
      <c r="F301" s="98"/>
    </row>
    <row r="302" spans="1:6" s="81" customFormat="1">
      <c r="A302" s="105"/>
      <c r="B302" s="672" t="s">
        <v>689</v>
      </c>
      <c r="C302" s="687">
        <v>10.48</v>
      </c>
      <c r="D302" s="80">
        <v>12.41</v>
      </c>
      <c r="E302" s="80">
        <f t="shared" ref="E302" si="10">ROUNDDOWN(D302*C302,2)</f>
        <v>130.05000000000001</v>
      </c>
      <c r="F302" s="80"/>
    </row>
    <row r="303" spans="1:6" s="81" customFormat="1">
      <c r="A303" s="105"/>
      <c r="B303" s="672" t="s">
        <v>690</v>
      </c>
      <c r="C303" s="1098" t="s">
        <v>140</v>
      </c>
      <c r="D303" s="1098"/>
      <c r="E303" s="80">
        <v>132.75</v>
      </c>
      <c r="F303" s="80"/>
    </row>
    <row r="304" spans="1:6" s="81" customFormat="1">
      <c r="A304" s="935" t="s">
        <v>682</v>
      </c>
      <c r="B304" s="935"/>
      <c r="C304" s="688">
        <v>4.4000000000000004</v>
      </c>
      <c r="D304" s="80">
        <v>5.76</v>
      </c>
      <c r="E304" s="80">
        <f t="shared" ref="E304:E308" si="11">ROUNDDOWN(D304*C304,2)</f>
        <v>25.34</v>
      </c>
      <c r="F304" s="80"/>
    </row>
    <row r="305" spans="1:6" s="81" customFormat="1">
      <c r="A305" s="935" t="s">
        <v>683</v>
      </c>
      <c r="B305" s="935"/>
      <c r="C305" s="687">
        <v>2.57</v>
      </c>
      <c r="D305" s="80">
        <v>6.75</v>
      </c>
      <c r="E305" s="80">
        <f t="shared" si="11"/>
        <v>17.34</v>
      </c>
      <c r="F305" s="80"/>
    </row>
    <row r="306" spans="1:6" s="81" customFormat="1" ht="15">
      <c r="A306" s="935" t="s">
        <v>685</v>
      </c>
      <c r="B306" s="1099"/>
      <c r="C306" s="687">
        <v>3.27</v>
      </c>
      <c r="D306" s="80">
        <v>1.4</v>
      </c>
      <c r="E306" s="80">
        <f t="shared" si="11"/>
        <v>4.57</v>
      </c>
      <c r="F306" s="80"/>
    </row>
    <row r="307" spans="1:6" s="81" customFormat="1" ht="15">
      <c r="A307" s="935" t="s">
        <v>686</v>
      </c>
      <c r="B307" s="1099"/>
      <c r="C307" s="687">
        <v>4.53</v>
      </c>
      <c r="D307" s="80">
        <v>1.4</v>
      </c>
      <c r="E307" s="80">
        <f t="shared" si="11"/>
        <v>6.34</v>
      </c>
      <c r="F307" s="80"/>
    </row>
    <row r="308" spans="1:6" s="81" customFormat="1" ht="13.5" thickBot="1">
      <c r="A308" s="206"/>
      <c r="B308" s="447" t="s">
        <v>695</v>
      </c>
      <c r="C308" s="689">
        <v>19.37</v>
      </c>
      <c r="D308" s="88">
        <v>7.18</v>
      </c>
      <c r="E308" s="88">
        <f t="shared" si="11"/>
        <v>139.07</v>
      </c>
      <c r="F308" s="88"/>
    </row>
    <row r="309" spans="1:6" s="81" customFormat="1" ht="13.5" thickBot="1">
      <c r="A309" s="74">
        <v>72107</v>
      </c>
      <c r="B309" s="871" t="s">
        <v>375</v>
      </c>
      <c r="C309" s="871"/>
      <c r="D309" s="871"/>
      <c r="E309" s="75" t="s">
        <v>17</v>
      </c>
      <c r="F309" s="76">
        <f>ROUNDDOWN(E311+E312,2)</f>
        <v>79.680000000000007</v>
      </c>
    </row>
    <row r="310" spans="1:6" s="81" customFormat="1" ht="15" customHeight="1">
      <c r="A310" s="82"/>
      <c r="B310" s="128" t="s">
        <v>119</v>
      </c>
      <c r="C310" s="901" t="s">
        <v>120</v>
      </c>
      <c r="D310" s="902"/>
      <c r="E310" s="128" t="s">
        <v>13</v>
      </c>
      <c r="F310" s="225"/>
    </row>
    <row r="311" spans="1:6" s="81" customFormat="1">
      <c r="A311" s="988" t="s">
        <v>606</v>
      </c>
      <c r="B311" s="672" t="s">
        <v>696</v>
      </c>
      <c r="C311" s="971" t="s">
        <v>464</v>
      </c>
      <c r="D311" s="972"/>
      <c r="E311" s="158">
        <f>14.65+6.61+6.75+6.06+0.43</f>
        <v>34.5</v>
      </c>
      <c r="F311" s="80"/>
    </row>
    <row r="312" spans="1:6" s="81" customFormat="1" ht="26.25" thickBot="1">
      <c r="A312" s="989"/>
      <c r="B312" s="691" t="s">
        <v>569</v>
      </c>
      <c r="C312" s="971" t="s">
        <v>464</v>
      </c>
      <c r="D312" s="972"/>
      <c r="E312" s="83">
        <v>45.18</v>
      </c>
      <c r="F312" s="80"/>
    </row>
    <row r="313" spans="1:6" s="81" customFormat="1" ht="39.75" customHeight="1" thickBot="1">
      <c r="A313" s="74">
        <v>72081</v>
      </c>
      <c r="B313" s="871" t="s">
        <v>693</v>
      </c>
      <c r="C313" s="871"/>
      <c r="D313" s="871"/>
      <c r="E313" s="75" t="s">
        <v>123</v>
      </c>
      <c r="F313" s="76">
        <f>ROUNDDOWN(E315+E316+E317+E318,2)</f>
        <v>53.59</v>
      </c>
    </row>
    <row r="314" spans="1:6" s="81" customFormat="1">
      <c r="A314" s="901" t="s">
        <v>119</v>
      </c>
      <c r="B314" s="902"/>
      <c r="C314" s="674" t="s">
        <v>120</v>
      </c>
      <c r="D314" s="104" t="s">
        <v>130</v>
      </c>
      <c r="E314" s="118" t="s">
        <v>13</v>
      </c>
      <c r="F314" s="80"/>
    </row>
    <row r="315" spans="1:6" s="81" customFormat="1">
      <c r="A315" s="961" t="s">
        <v>682</v>
      </c>
      <c r="B315" s="962"/>
      <c r="C315" s="688">
        <v>4.4000000000000004</v>
      </c>
      <c r="D315" s="80">
        <v>5.76</v>
      </c>
      <c r="E315" s="80">
        <f t="shared" ref="E315:E318" si="12">ROUNDDOWN(D315*C315,2)</f>
        <v>25.34</v>
      </c>
      <c r="F315" s="80"/>
    </row>
    <row r="316" spans="1:6" s="81" customFormat="1" ht="12.75" customHeight="1">
      <c r="A316" s="935" t="s">
        <v>683</v>
      </c>
      <c r="B316" s="935"/>
      <c r="C316" s="687">
        <v>2.57</v>
      </c>
      <c r="D316" s="80">
        <v>6.75</v>
      </c>
      <c r="E316" s="80">
        <f t="shared" si="12"/>
        <v>17.34</v>
      </c>
      <c r="F316" s="80"/>
    </row>
    <row r="317" spans="1:6" s="81" customFormat="1" ht="12.75" customHeight="1">
      <c r="A317" s="961" t="s">
        <v>685</v>
      </c>
      <c r="B317" s="963"/>
      <c r="C317" s="689">
        <v>3.27</v>
      </c>
      <c r="D317" s="88">
        <v>1.4</v>
      </c>
      <c r="E317" s="80">
        <f t="shared" si="12"/>
        <v>4.57</v>
      </c>
      <c r="F317" s="80"/>
    </row>
    <row r="318" spans="1:6" s="81" customFormat="1" ht="12.75" customHeight="1" thickBot="1">
      <c r="A318" s="961" t="s">
        <v>686</v>
      </c>
      <c r="B318" s="963"/>
      <c r="C318" s="689">
        <v>4.53</v>
      </c>
      <c r="D318" s="88">
        <v>1.4</v>
      </c>
      <c r="E318" s="80">
        <f t="shared" si="12"/>
        <v>6.34</v>
      </c>
      <c r="F318" s="88"/>
    </row>
    <row r="319" spans="1:6" s="81" customFormat="1" ht="40.5" customHeight="1" thickBot="1">
      <c r="A319" s="74">
        <v>72084</v>
      </c>
      <c r="B319" s="871" t="s">
        <v>694</v>
      </c>
      <c r="C319" s="871"/>
      <c r="D319" s="871"/>
      <c r="E319" s="75" t="s">
        <v>123</v>
      </c>
      <c r="F319" s="76">
        <f>ROUNDDOWN(E321,2)</f>
        <v>139.07</v>
      </c>
    </row>
    <row r="320" spans="1:6" s="81" customFormat="1">
      <c r="A320" s="673"/>
      <c r="B320" s="674" t="s">
        <v>119</v>
      </c>
      <c r="C320" s="674" t="s">
        <v>120</v>
      </c>
      <c r="D320" s="104" t="s">
        <v>130</v>
      </c>
      <c r="E320" s="118" t="s">
        <v>13</v>
      </c>
      <c r="F320" s="80"/>
    </row>
    <row r="321" spans="1:6" s="81" customFormat="1" ht="13.5" thickBot="1">
      <c r="A321" s="447"/>
      <c r="B321" s="447" t="s">
        <v>695</v>
      </c>
      <c r="C321" s="689">
        <v>19.37</v>
      </c>
      <c r="D321" s="88">
        <v>7.18</v>
      </c>
      <c r="E321" s="88">
        <f t="shared" ref="E321" si="13">ROUNDDOWN(D321*C321,2)</f>
        <v>139.07</v>
      </c>
      <c r="F321" s="88"/>
    </row>
    <row r="322" spans="1:6" s="81" customFormat="1" ht="51.75" customHeight="1" thickBot="1">
      <c r="A322" s="74" t="s">
        <v>712</v>
      </c>
      <c r="B322" s="871" t="s">
        <v>713</v>
      </c>
      <c r="C322" s="871"/>
      <c r="D322" s="871"/>
      <c r="E322" s="75" t="s">
        <v>135</v>
      </c>
      <c r="F322" s="76">
        <f>ROUNDDOWN(D324+D325,2)</f>
        <v>43.33</v>
      </c>
    </row>
    <row r="323" spans="1:6" s="81" customFormat="1">
      <c r="A323" s="901" t="s">
        <v>119</v>
      </c>
      <c r="B323" s="902"/>
      <c r="C323" s="678" t="s">
        <v>120</v>
      </c>
      <c r="D323" s="118" t="s">
        <v>13</v>
      </c>
      <c r="E323" s="80"/>
      <c r="F323" s="80"/>
    </row>
    <row r="324" spans="1:6" s="81" customFormat="1" ht="25.5">
      <c r="A324" s="981" t="s">
        <v>687</v>
      </c>
      <c r="B324" s="962"/>
      <c r="C324" s="687" t="s">
        <v>688</v>
      </c>
      <c r="D324" s="687">
        <f>2.49+2.49+3.39+3.39</f>
        <v>11.760000000000002</v>
      </c>
      <c r="E324" s="80"/>
      <c r="F324" s="80"/>
    </row>
    <row r="325" spans="1:6" s="81" customFormat="1" ht="26.25" thickBot="1">
      <c r="A325" s="884" t="s">
        <v>681</v>
      </c>
      <c r="B325" s="886"/>
      <c r="C325" s="689" t="s">
        <v>688</v>
      </c>
      <c r="D325" s="689">
        <f>ROUNDDOWN((7.41*4)+1.93,2)</f>
        <v>31.57</v>
      </c>
      <c r="E325" s="88"/>
      <c r="F325" s="88"/>
    </row>
    <row r="326" spans="1:6" s="81" customFormat="1" ht="13.5" thickBot="1">
      <c r="A326" s="73">
        <v>9</v>
      </c>
      <c r="B326" s="890" t="s">
        <v>72</v>
      </c>
      <c r="C326" s="891"/>
      <c r="D326" s="891"/>
      <c r="E326" s="891"/>
      <c r="F326" s="892"/>
    </row>
    <row r="327" spans="1:6" s="81" customFormat="1" ht="13.5" customHeight="1" thickBot="1">
      <c r="A327" s="74">
        <v>110210</v>
      </c>
      <c r="B327" s="893" t="s">
        <v>73</v>
      </c>
      <c r="C327" s="894"/>
      <c r="D327" s="895"/>
      <c r="E327" s="75" t="s">
        <v>123</v>
      </c>
      <c r="F327" s="130">
        <f>ROUNDDOWN(E329+E330+E331+E332+E333+E334,2)</f>
        <v>162.04</v>
      </c>
    </row>
    <row r="328" spans="1:6">
      <c r="A328" s="82"/>
      <c r="B328" s="77" t="s">
        <v>119</v>
      </c>
      <c r="C328" s="77" t="s">
        <v>120</v>
      </c>
      <c r="D328" s="84" t="s">
        <v>121</v>
      </c>
      <c r="E328" s="108" t="s">
        <v>23</v>
      </c>
      <c r="F328" s="97"/>
    </row>
    <row r="329" spans="1:6">
      <c r="A329" s="105"/>
      <c r="B329" s="530" t="s">
        <v>465</v>
      </c>
      <c r="C329" s="80">
        <v>7</v>
      </c>
      <c r="D329" s="80">
        <v>6</v>
      </c>
      <c r="E329" s="116">
        <f>ROUNDDOWN(D329*C329,2)</f>
        <v>42</v>
      </c>
      <c r="F329" s="532"/>
    </row>
    <row r="330" spans="1:6">
      <c r="A330" s="87"/>
      <c r="B330" s="300" t="s">
        <v>471</v>
      </c>
      <c r="C330" s="971" t="s">
        <v>140</v>
      </c>
      <c r="D330" s="972"/>
      <c r="E330" s="112">
        <v>7.47</v>
      </c>
      <c r="F330" s="113"/>
    </row>
    <row r="331" spans="1:6">
      <c r="A331" s="105"/>
      <c r="B331" s="680" t="s">
        <v>469</v>
      </c>
      <c r="C331" s="687">
        <v>4.87</v>
      </c>
      <c r="D331" s="687">
        <v>5.85</v>
      </c>
      <c r="E331" s="116">
        <f>ROUNDDOWN(D331*C331,2)</f>
        <v>28.48</v>
      </c>
      <c r="F331" s="683"/>
    </row>
    <row r="332" spans="1:6">
      <c r="A332" s="105"/>
      <c r="B332" s="206" t="s">
        <v>470</v>
      </c>
      <c r="C332" s="689">
        <v>4.82</v>
      </c>
      <c r="D332" s="689">
        <v>5.85</v>
      </c>
      <c r="E332" s="116">
        <f>ROUNDDOWN(D332*C332,2)</f>
        <v>28.19</v>
      </c>
      <c r="F332" s="683"/>
    </row>
    <row r="333" spans="1:6">
      <c r="A333" s="105"/>
      <c r="B333" s="680" t="s">
        <v>152</v>
      </c>
      <c r="C333" s="687">
        <v>4.87</v>
      </c>
      <c r="D333" s="687">
        <v>5.77</v>
      </c>
      <c r="E333" s="116">
        <f>ROUNDDOWN(D333*C333,2)</f>
        <v>28.09</v>
      </c>
      <c r="F333" s="683"/>
    </row>
    <row r="334" spans="1:6" ht="13.5" thickBot="1">
      <c r="A334" s="87"/>
      <c r="B334" s="680" t="s">
        <v>197</v>
      </c>
      <c r="C334" s="689">
        <v>4.82</v>
      </c>
      <c r="D334" s="687">
        <v>5.77</v>
      </c>
      <c r="E334" s="116">
        <f>ROUNDDOWN(D334*C334,2)</f>
        <v>27.81</v>
      </c>
      <c r="F334" s="113"/>
    </row>
    <row r="335" spans="1:6" ht="13.5" thickBot="1">
      <c r="A335" s="73">
        <v>10</v>
      </c>
      <c r="B335" s="890" t="s">
        <v>74</v>
      </c>
      <c r="C335" s="891"/>
      <c r="D335" s="891"/>
      <c r="E335" s="891"/>
      <c r="F335" s="892"/>
    </row>
    <row r="336" spans="1:6" s="81" customFormat="1" ht="30" customHeight="1" thickBot="1">
      <c r="A336" s="74">
        <v>120101</v>
      </c>
      <c r="B336" s="871" t="s">
        <v>707</v>
      </c>
      <c r="C336" s="871"/>
      <c r="D336" s="871"/>
      <c r="E336" s="75" t="s">
        <v>123</v>
      </c>
      <c r="F336" s="76">
        <f>ROUNDDOWN(F338+F339+F340+F341+F342+F343+F344+F345+F346+F347+F348+F350+F351+F352+F353+F354+F355+F356+F357,2)</f>
        <v>380.16</v>
      </c>
    </row>
    <row r="337" spans="1:6" ht="25.5">
      <c r="A337" s="82"/>
      <c r="B337" s="118" t="s">
        <v>119</v>
      </c>
      <c r="C337" s="119" t="s">
        <v>120</v>
      </c>
      <c r="D337" s="696" t="s">
        <v>591</v>
      </c>
      <c r="E337" s="119" t="s">
        <v>138</v>
      </c>
      <c r="F337" s="97" t="s">
        <v>13</v>
      </c>
    </row>
    <row r="338" spans="1:6">
      <c r="A338" s="983" t="s">
        <v>441</v>
      </c>
      <c r="B338" s="407" t="s">
        <v>449</v>
      </c>
      <c r="C338" s="80">
        <v>7.26</v>
      </c>
      <c r="D338" s="80">
        <v>3.08</v>
      </c>
      <c r="E338" s="117">
        <f>ROUNDDOWN(1.1*2*2-2,2)</f>
        <v>2.4</v>
      </c>
      <c r="F338" s="316">
        <f>ROUNDDOWN(((C338*D338)-E338)*2,2)</f>
        <v>39.92</v>
      </c>
    </row>
    <row r="339" spans="1:6" ht="25.5">
      <c r="A339" s="984"/>
      <c r="B339" s="682" t="s">
        <v>450</v>
      </c>
      <c r="C339" s="866">
        <v>19.61</v>
      </c>
      <c r="D339" s="867"/>
      <c r="E339" s="117">
        <f>ROUNDDOWN(1.1*1.6*2-2,2)</f>
        <v>1.52</v>
      </c>
      <c r="F339" s="316">
        <f>ROUNDDOWN((C339-E339)*2,2)</f>
        <v>36.18</v>
      </c>
    </row>
    <row r="340" spans="1:6" ht="26.25" thickBot="1">
      <c r="A340" s="985"/>
      <c r="B340" s="701" t="s">
        <v>196</v>
      </c>
      <c r="C340" s="868">
        <v>17.87</v>
      </c>
      <c r="D340" s="869"/>
      <c r="E340" s="368"/>
      <c r="F340" s="713">
        <f>ROUNDDOWN((C340-E340)*2,2)</f>
        <v>35.74</v>
      </c>
    </row>
    <row r="341" spans="1:6" ht="13.5" thickBot="1">
      <c r="A341" s="408" t="s">
        <v>445</v>
      </c>
      <c r="B341" s="421" t="s">
        <v>451</v>
      </c>
      <c r="C341" s="373">
        <v>1.6</v>
      </c>
      <c r="D341" s="373">
        <v>3.27</v>
      </c>
      <c r="E341" s="374">
        <f>ROUNDDOWN((0.8*2.1)+(0.6*0.7)-2,2)</f>
        <v>0.1</v>
      </c>
      <c r="F341" s="375">
        <f>ROUNDDOWN(((C341*D341)-E341)*2,2)</f>
        <v>10.26</v>
      </c>
    </row>
    <row r="342" spans="1:6">
      <c r="A342" s="1036" t="s">
        <v>452</v>
      </c>
      <c r="B342" s="341" t="s">
        <v>449</v>
      </c>
      <c r="C342" s="372">
        <v>3.59</v>
      </c>
      <c r="D342" s="92">
        <v>3.08</v>
      </c>
      <c r="E342" s="367"/>
      <c r="F342" s="104">
        <f>ROUNDDOWN((D342*C342)*2,2)</f>
        <v>22.11</v>
      </c>
    </row>
    <row r="343" spans="1:6">
      <c r="A343" s="1036"/>
      <c r="B343" s="110" t="s">
        <v>524</v>
      </c>
      <c r="C343" s="120">
        <v>3.66</v>
      </c>
      <c r="D343" s="80">
        <v>2.98</v>
      </c>
      <c r="E343" s="122"/>
      <c r="F343" s="104">
        <f>ROUNDDOWN((D343*C343)*2,2)</f>
        <v>21.81</v>
      </c>
    </row>
    <row r="344" spans="1:6">
      <c r="A344" s="1036"/>
      <c r="B344" s="110" t="s">
        <v>525</v>
      </c>
      <c r="C344" s="120">
        <v>3.66</v>
      </c>
      <c r="D344" s="80">
        <v>2.98</v>
      </c>
      <c r="E344" s="122"/>
      <c r="F344" s="104">
        <f>ROUNDDOWN((D344*C344)*2,2)</f>
        <v>21.81</v>
      </c>
    </row>
    <row r="345" spans="1:6" ht="13.5" thickBot="1">
      <c r="A345" s="1037"/>
      <c r="B345" s="357" t="s">
        <v>526</v>
      </c>
      <c r="C345" s="411">
        <v>3.66</v>
      </c>
      <c r="D345" s="102">
        <v>2.98</v>
      </c>
      <c r="E345" s="213"/>
      <c r="F345" s="104">
        <f>ROUNDDOWN((D345*C345)*2,2)</f>
        <v>21.81</v>
      </c>
    </row>
    <row r="346" spans="1:6" ht="13.5" thickBot="1">
      <c r="A346" s="416" t="s">
        <v>448</v>
      </c>
      <c r="B346" s="412" t="s">
        <v>453</v>
      </c>
      <c r="C346" s="413">
        <f>2.6+0.4</f>
        <v>3</v>
      </c>
      <c r="D346" s="414">
        <v>0.55000000000000004</v>
      </c>
      <c r="E346" s="415"/>
      <c r="F346" s="104">
        <f>ROUNDDOWN((D346*C346)*2,2)</f>
        <v>3.3</v>
      </c>
    </row>
    <row r="347" spans="1:6">
      <c r="A347" s="920" t="s">
        <v>446</v>
      </c>
      <c r="B347" s="422" t="s">
        <v>454</v>
      </c>
      <c r="C347" s="409">
        <v>0.73</v>
      </c>
      <c r="D347" s="410">
        <v>2.98</v>
      </c>
      <c r="E347" s="381"/>
      <c r="F347" s="420">
        <f>(D347*C347)*2+(0.13*D347)</f>
        <v>4.7382</v>
      </c>
    </row>
    <row r="348" spans="1:6" ht="12.75" customHeight="1">
      <c r="A348" s="921"/>
      <c r="B348" s="300" t="s">
        <v>543</v>
      </c>
      <c r="C348" s="160">
        <v>3.95</v>
      </c>
      <c r="D348" s="88">
        <v>0.73</v>
      </c>
      <c r="E348" s="123"/>
      <c r="F348" s="424">
        <f>(D348*C348)+(0.15*C348)</f>
        <v>3.476</v>
      </c>
    </row>
    <row r="349" spans="1:6" ht="12.75" customHeight="1" thickBot="1">
      <c r="A349" s="922"/>
      <c r="B349" s="357" t="s">
        <v>547</v>
      </c>
      <c r="C349" s="511">
        <v>3.95</v>
      </c>
      <c r="D349" s="102">
        <v>0.63</v>
      </c>
      <c r="E349" s="213"/>
      <c r="F349" s="513">
        <f>((D349*C349)*6)+((0.15*C349)*3)+(C349*0.73)+(0.1*C349)</f>
        <v>19.987000000000002</v>
      </c>
    </row>
    <row r="350" spans="1:6" ht="13.5" customHeight="1" thickBot="1">
      <c r="A350" s="1080" t="s">
        <v>455</v>
      </c>
      <c r="B350" s="1036"/>
      <c r="C350" s="509">
        <v>14.05</v>
      </c>
      <c r="D350" s="83">
        <v>4.18</v>
      </c>
      <c r="E350" s="380"/>
      <c r="F350" s="373">
        <f>ROUNDDOWN(D350*C350,2)</f>
        <v>58.72</v>
      </c>
    </row>
    <row r="351" spans="1:6" ht="15.75" customHeight="1" thickBot="1">
      <c r="A351" s="1081"/>
      <c r="B351" s="1037"/>
      <c r="C351" s="411">
        <v>14.05</v>
      </c>
      <c r="D351" s="102">
        <f>4.18-2.07</f>
        <v>2.11</v>
      </c>
      <c r="E351" s="213"/>
      <c r="F351" s="373">
        <f>ROUNDDOWN(D351*C351,2)</f>
        <v>29.64</v>
      </c>
    </row>
    <row r="352" spans="1:6" ht="13.5" thickBot="1">
      <c r="A352" s="986" t="s">
        <v>456</v>
      </c>
      <c r="B352" s="987"/>
      <c r="C352" s="413">
        <f>6.26+13.92</f>
        <v>20.18</v>
      </c>
      <c r="D352" s="414">
        <v>0.42</v>
      </c>
      <c r="E352" s="415"/>
      <c r="F352" s="373">
        <f>ROUNDDOWN(D352*C352,2)</f>
        <v>8.4700000000000006</v>
      </c>
    </row>
    <row r="353" spans="1:6" ht="15.75" customHeight="1" thickBot="1">
      <c r="A353" s="1057" t="s">
        <v>497</v>
      </c>
      <c r="B353" s="1058"/>
      <c r="C353" s="413">
        <v>4</v>
      </c>
      <c r="D353" s="414">
        <v>1</v>
      </c>
      <c r="E353" s="415"/>
      <c r="F353" s="373">
        <f>ROUNDDOWN(D353*C353,2)</f>
        <v>4</v>
      </c>
    </row>
    <row r="354" spans="1:6" ht="30" customHeight="1" thickBot="1">
      <c r="A354" s="507" t="s">
        <v>518</v>
      </c>
      <c r="B354" s="508" t="s">
        <v>521</v>
      </c>
      <c r="C354" s="1042" t="s">
        <v>140</v>
      </c>
      <c r="D354" s="1043"/>
      <c r="E354" s="415"/>
      <c r="F354" s="373">
        <f>((3.95-1.68-2.2)+(6.7-1.68-2.2)+(3.94*2.96))*2</f>
        <v>29.104800000000001</v>
      </c>
    </row>
    <row r="355" spans="1:6" ht="13.5" thickBot="1">
      <c r="A355" s="507"/>
      <c r="B355" s="538" t="s">
        <v>587</v>
      </c>
      <c r="C355" s="413">
        <v>6.31</v>
      </c>
      <c r="D355" s="413">
        <f>0.8+0.5</f>
        <v>1.3</v>
      </c>
      <c r="E355" s="415"/>
      <c r="F355" s="373">
        <f>ROUNDDOWN(D355*C355,2)</f>
        <v>8.1999999999999993</v>
      </c>
    </row>
    <row r="356" spans="1:6">
      <c r="A356" s="1067" t="s">
        <v>558</v>
      </c>
      <c r="B356" s="537" t="s">
        <v>611</v>
      </c>
      <c r="C356" s="372">
        <v>1.1000000000000001</v>
      </c>
      <c r="D356" s="372">
        <v>3</v>
      </c>
      <c r="E356" s="367"/>
      <c r="F356" s="104">
        <f>ROUNDDOWN((D356*C356)*2,2)</f>
        <v>6.6</v>
      </c>
    </row>
    <row r="357" spans="1:6" ht="13.5" thickBot="1">
      <c r="A357" s="1100"/>
      <c r="B357" s="536" t="s">
        <v>565</v>
      </c>
      <c r="C357" s="160">
        <v>2.38</v>
      </c>
      <c r="D357" s="160">
        <v>3</v>
      </c>
      <c r="E357" s="123"/>
      <c r="F357" s="104">
        <f>ROUNDDOWN((D357*C357)*2,2)</f>
        <v>14.28</v>
      </c>
    </row>
    <row r="358" spans="1:6" s="81" customFormat="1" ht="69.75" customHeight="1" thickBot="1">
      <c r="A358" s="74">
        <v>87267</v>
      </c>
      <c r="B358" s="871" t="s">
        <v>601</v>
      </c>
      <c r="C358" s="871"/>
      <c r="D358" s="871"/>
      <c r="E358" s="75" t="s">
        <v>123</v>
      </c>
      <c r="F358" s="76">
        <f>ROUNDDOWN(E360+E361+E362+E363+E364+E365,2)</f>
        <v>102.85</v>
      </c>
    </row>
    <row r="359" spans="1:6" ht="15" customHeight="1">
      <c r="A359" s="82"/>
      <c r="B359" s="77" t="s">
        <v>119</v>
      </c>
      <c r="C359" s="77" t="s">
        <v>168</v>
      </c>
      <c r="D359" s="118" t="s">
        <v>126</v>
      </c>
      <c r="E359" s="77" t="s">
        <v>13</v>
      </c>
      <c r="F359" s="97"/>
    </row>
    <row r="360" spans="1:6">
      <c r="A360" s="105"/>
      <c r="B360" s="110" t="s">
        <v>445</v>
      </c>
      <c r="C360" s="406">
        <f>7.2-0.8</f>
        <v>6.4</v>
      </c>
      <c r="D360" s="115">
        <v>1.6</v>
      </c>
      <c r="E360" s="683">
        <f>ROUNDDOWN(D360*C360,2)</f>
        <v>10.24</v>
      </c>
      <c r="F360" s="406"/>
    </row>
    <row r="361" spans="1:6" ht="25.5">
      <c r="A361" s="105"/>
      <c r="B361" s="680" t="s">
        <v>607</v>
      </c>
      <c r="C361" s="80">
        <v>10.51</v>
      </c>
      <c r="D361" s="80">
        <v>2.98</v>
      </c>
      <c r="E361" s="406">
        <f>ROUNDDOWN(D361*C361,2)</f>
        <v>31.31</v>
      </c>
      <c r="F361" s="406"/>
    </row>
    <row r="362" spans="1:6" ht="25.5">
      <c r="A362" s="87"/>
      <c r="B362" s="206" t="s">
        <v>608</v>
      </c>
      <c r="C362" s="80">
        <v>10.51</v>
      </c>
      <c r="D362" s="80">
        <v>2.98</v>
      </c>
      <c r="E362" s="524">
        <f>ROUNDDOWN(D362*C362,2)</f>
        <v>31.31</v>
      </c>
      <c r="F362" s="113"/>
    </row>
    <row r="363" spans="1:6">
      <c r="A363" s="87"/>
      <c r="B363" s="206" t="s">
        <v>448</v>
      </c>
      <c r="C363" s="971" t="s">
        <v>140</v>
      </c>
      <c r="D363" s="972"/>
      <c r="E363" s="113">
        <f>1.45+0.28+1.32+2.86</f>
        <v>5.91</v>
      </c>
      <c r="F363" s="113"/>
    </row>
    <row r="364" spans="1:6" ht="30" customHeight="1">
      <c r="A364" s="1101" t="s">
        <v>604</v>
      </c>
      <c r="B364" s="680" t="s">
        <v>593</v>
      </c>
      <c r="C364" s="113">
        <f>4.39-0.8+3.94</f>
        <v>7.5299999999999994</v>
      </c>
      <c r="D364" s="113">
        <v>1.6</v>
      </c>
      <c r="E364" s="683">
        <f>ROUNDDOWN(D364*C364,2)</f>
        <v>12.04</v>
      </c>
      <c r="F364" s="516"/>
    </row>
    <row r="365" spans="1:6" ht="27" customHeight="1" thickBot="1">
      <c r="A365" s="1102"/>
      <c r="B365" s="206" t="s">
        <v>594</v>
      </c>
      <c r="C365" s="113">
        <f>4.39-0.8+3.94</f>
        <v>7.5299999999999994</v>
      </c>
      <c r="D365" s="113">
        <v>1.6</v>
      </c>
      <c r="E365" s="683">
        <f>ROUNDDOWN(D365*C365,2)</f>
        <v>12.04</v>
      </c>
      <c r="F365" s="113"/>
    </row>
    <row r="366" spans="1:6" s="81" customFormat="1" ht="81.75" customHeight="1" thickBot="1">
      <c r="A366" s="74">
        <v>87532</v>
      </c>
      <c r="B366" s="871" t="s">
        <v>378</v>
      </c>
      <c r="C366" s="871"/>
      <c r="D366" s="871"/>
      <c r="E366" s="75" t="s">
        <v>123</v>
      </c>
      <c r="F366" s="76">
        <f>ROUNDDOWN(E368,2)</f>
        <v>5.91</v>
      </c>
    </row>
    <row r="367" spans="1:6">
      <c r="A367" s="124"/>
      <c r="B367" s="77" t="s">
        <v>119</v>
      </c>
      <c r="C367" s="77" t="s">
        <v>168</v>
      </c>
      <c r="D367" s="118" t="s">
        <v>126</v>
      </c>
      <c r="E367" s="77" t="s">
        <v>13</v>
      </c>
      <c r="F367" s="121"/>
    </row>
    <row r="368" spans="1:6" ht="13.5" thickBot="1">
      <c r="A368" s="87"/>
      <c r="B368" s="206" t="s">
        <v>448</v>
      </c>
      <c r="C368" s="971" t="s">
        <v>140</v>
      </c>
      <c r="D368" s="972"/>
      <c r="E368" s="113">
        <f>1.45+0.28+1.32+2.86</f>
        <v>5.91</v>
      </c>
      <c r="F368" s="113"/>
    </row>
    <row r="369" spans="1:6" ht="82.5" customHeight="1" thickBot="1">
      <c r="A369" s="74">
        <v>87536</v>
      </c>
      <c r="B369" s="871" t="s">
        <v>603</v>
      </c>
      <c r="C369" s="871"/>
      <c r="D369" s="871"/>
      <c r="E369" s="75" t="s">
        <v>123</v>
      </c>
      <c r="F369" s="76">
        <f>ROUNDDOWN(E371+E372+E373+E374+E375,2)</f>
        <v>96.94</v>
      </c>
    </row>
    <row r="370" spans="1:6">
      <c r="A370" s="105"/>
      <c r="B370" s="515" t="s">
        <v>119</v>
      </c>
      <c r="C370" s="515" t="s">
        <v>168</v>
      </c>
      <c r="D370" s="118" t="s">
        <v>126</v>
      </c>
      <c r="E370" s="515" t="s">
        <v>13</v>
      </c>
      <c r="F370" s="516"/>
    </row>
    <row r="371" spans="1:6">
      <c r="A371" s="105"/>
      <c r="B371" s="514" t="s">
        <v>445</v>
      </c>
      <c r="C371" s="516">
        <f>7.2-0.8</f>
        <v>6.4</v>
      </c>
      <c r="D371" s="115">
        <v>1.6</v>
      </c>
      <c r="E371" s="516">
        <f>ROUNDDOWN(D371*C371,2)</f>
        <v>10.24</v>
      </c>
      <c r="F371" s="516"/>
    </row>
    <row r="372" spans="1:6">
      <c r="A372" s="105"/>
      <c r="B372" s="514" t="s">
        <v>442</v>
      </c>
      <c r="C372" s="80">
        <v>10.51</v>
      </c>
      <c r="D372" s="80">
        <v>2.98</v>
      </c>
      <c r="E372" s="524">
        <f>ROUNDDOWN(D372*C372,2)</f>
        <v>31.31</v>
      </c>
      <c r="F372" s="516"/>
    </row>
    <row r="373" spans="1:6">
      <c r="A373" s="105"/>
      <c r="B373" s="300" t="s">
        <v>443</v>
      </c>
      <c r="C373" s="80">
        <v>10.51</v>
      </c>
      <c r="D373" s="80">
        <v>2.98</v>
      </c>
      <c r="E373" s="524">
        <f>ROUNDDOWN(D373*C373,2)</f>
        <v>31.31</v>
      </c>
      <c r="F373" s="516"/>
    </row>
    <row r="374" spans="1:6" ht="25.5">
      <c r="A374" s="105"/>
      <c r="B374" s="517" t="s">
        <v>593</v>
      </c>
      <c r="C374" s="113">
        <f>4.39-0.8+3.94</f>
        <v>7.5299999999999994</v>
      </c>
      <c r="D374" s="113">
        <v>1.6</v>
      </c>
      <c r="E374" s="683">
        <f t="shared" ref="E374:E375" si="14">ROUNDDOWN(D374*C374,2)</f>
        <v>12.04</v>
      </c>
      <c r="F374" s="516"/>
    </row>
    <row r="375" spans="1:6" ht="26.25" thickBot="1">
      <c r="A375" s="87"/>
      <c r="B375" s="206" t="s">
        <v>594</v>
      </c>
      <c r="C375" s="113">
        <f>4.39-0.8+3.94</f>
        <v>7.5299999999999994</v>
      </c>
      <c r="D375" s="113">
        <v>1.6</v>
      </c>
      <c r="E375" s="683">
        <f t="shared" si="14"/>
        <v>12.04</v>
      </c>
      <c r="F375" s="113"/>
    </row>
    <row r="376" spans="1:6" s="81" customFormat="1" ht="27" customHeight="1" thickBot="1">
      <c r="A376" s="74">
        <v>120303</v>
      </c>
      <c r="B376" s="871" t="s">
        <v>377</v>
      </c>
      <c r="C376" s="871"/>
      <c r="D376" s="871"/>
      <c r="E376" s="75" t="s">
        <v>123</v>
      </c>
      <c r="F376" s="76">
        <f>ROUNDDOWN(F336-F366-F369,2)</f>
        <v>277.31</v>
      </c>
    </row>
    <row r="377" spans="1:6" s="81" customFormat="1" ht="12.75" customHeight="1">
      <c r="A377" s="99"/>
      <c r="B377" s="702" t="s">
        <v>142</v>
      </c>
      <c r="C377" s="703"/>
      <c r="D377" s="223"/>
      <c r="E377" s="100"/>
      <c r="F377" s="101"/>
    </row>
    <row r="378" spans="1:6" s="81" customFormat="1" ht="12.75" customHeight="1" thickBot="1">
      <c r="A378" s="317"/>
      <c r="B378" s="1046" t="s">
        <v>710</v>
      </c>
      <c r="C378" s="1047"/>
      <c r="D378" s="704"/>
      <c r="E378" s="132"/>
      <c r="F378" s="78"/>
    </row>
    <row r="379" spans="1:6" s="81" customFormat="1" ht="12.75" customHeight="1" thickBot="1">
      <c r="A379" s="73">
        <v>11</v>
      </c>
      <c r="B379" s="890" t="s">
        <v>75</v>
      </c>
      <c r="C379" s="891"/>
      <c r="D379" s="891"/>
      <c r="E379" s="891"/>
      <c r="F379" s="892"/>
    </row>
    <row r="380" spans="1:6" s="81" customFormat="1" ht="54.75" customHeight="1" thickBot="1">
      <c r="A380" s="74">
        <v>87747</v>
      </c>
      <c r="B380" s="871" t="s">
        <v>380</v>
      </c>
      <c r="C380" s="871"/>
      <c r="D380" s="871"/>
      <c r="E380" s="75" t="s">
        <v>123</v>
      </c>
      <c r="F380" s="76">
        <f>ROUNDDOWN(E382+E383+E384,2)</f>
        <v>14.9</v>
      </c>
    </row>
    <row r="381" spans="1:6" s="81" customFormat="1">
      <c r="A381" s="99"/>
      <c r="B381" s="128" t="s">
        <v>119</v>
      </c>
      <c r="C381" s="77" t="s">
        <v>120</v>
      </c>
      <c r="D381" s="84" t="s">
        <v>121</v>
      </c>
      <c r="E381" s="157" t="s">
        <v>141</v>
      </c>
      <c r="F381" s="377"/>
    </row>
    <row r="382" spans="1:6">
      <c r="A382" s="105"/>
      <c r="B382" s="110" t="s">
        <v>445</v>
      </c>
      <c r="C382" s="406">
        <v>1.6</v>
      </c>
      <c r="D382" s="406">
        <v>2</v>
      </c>
      <c r="E382" s="406">
        <f>ROUNDDOWN(C382*D382,2)</f>
        <v>3.2</v>
      </c>
      <c r="F382" s="115"/>
    </row>
    <row r="383" spans="1:6">
      <c r="A383" s="105"/>
      <c r="B383" s="110" t="s">
        <v>442</v>
      </c>
      <c r="C383" s="406">
        <v>1.6</v>
      </c>
      <c r="D383" s="406">
        <v>3.66</v>
      </c>
      <c r="E383" s="406">
        <f>ROUNDDOWN(C383*D383,2)</f>
        <v>5.85</v>
      </c>
      <c r="F383" s="115"/>
    </row>
    <row r="384" spans="1:6" ht="13.5" thickBot="1">
      <c r="A384" s="87"/>
      <c r="B384" s="300" t="s">
        <v>443</v>
      </c>
      <c r="C384" s="406">
        <v>1.6</v>
      </c>
      <c r="D384" s="113">
        <v>3.66</v>
      </c>
      <c r="E384" s="406">
        <f>ROUNDDOWN(C384*D384,2)</f>
        <v>5.85</v>
      </c>
      <c r="F384" s="131"/>
    </row>
    <row r="385" spans="1:6" ht="66.75" customHeight="1" thickBot="1">
      <c r="A385" s="74">
        <v>87662</v>
      </c>
      <c r="B385" s="871" t="s">
        <v>401</v>
      </c>
      <c r="C385" s="871"/>
      <c r="D385" s="871"/>
      <c r="E385" s="75" t="s">
        <v>123</v>
      </c>
      <c r="F385" s="76">
        <f>E387</f>
        <v>42</v>
      </c>
    </row>
    <row r="386" spans="1:6">
      <c r="A386" s="105"/>
      <c r="B386" s="128" t="s">
        <v>119</v>
      </c>
      <c r="C386" s="77" t="s">
        <v>120</v>
      </c>
      <c r="D386" s="84" t="s">
        <v>121</v>
      </c>
      <c r="E386" s="157" t="s">
        <v>141</v>
      </c>
      <c r="F386" s="115"/>
    </row>
    <row r="387" spans="1:6" ht="13.5" thickBot="1">
      <c r="A387" s="105"/>
      <c r="B387" s="110" t="s">
        <v>465</v>
      </c>
      <c r="C387" s="406">
        <v>7</v>
      </c>
      <c r="D387" s="406">
        <v>6</v>
      </c>
      <c r="E387" s="80">
        <f>D387*C387</f>
        <v>42</v>
      </c>
      <c r="F387" s="115"/>
    </row>
    <row r="388" spans="1:6" s="81" customFormat="1" ht="13.5" thickBot="1">
      <c r="A388" s="74">
        <v>130112</v>
      </c>
      <c r="B388" s="871" t="s">
        <v>379</v>
      </c>
      <c r="C388" s="871"/>
      <c r="D388" s="871"/>
      <c r="E388" s="156" t="s">
        <v>143</v>
      </c>
      <c r="F388" s="76">
        <f>ROUNDDOWN(E390+E393+E394+E395+E392+E391+E396+E397+E398,2)</f>
        <v>112.87</v>
      </c>
    </row>
    <row r="389" spans="1:6">
      <c r="A389" s="82"/>
      <c r="B389" s="128" t="s">
        <v>119</v>
      </c>
      <c r="C389" s="77" t="s">
        <v>120</v>
      </c>
      <c r="D389" s="84" t="s">
        <v>121</v>
      </c>
      <c r="E389" s="157" t="s">
        <v>141</v>
      </c>
      <c r="F389" s="378"/>
    </row>
    <row r="390" spans="1:6">
      <c r="A390" s="94"/>
      <c r="B390" s="110" t="s">
        <v>445</v>
      </c>
      <c r="C390" s="406">
        <v>1.6</v>
      </c>
      <c r="D390" s="406">
        <v>2</v>
      </c>
      <c r="E390" s="406">
        <f>ROUNDDOWN(C390*D390,2)</f>
        <v>3.2</v>
      </c>
      <c r="F390" s="111"/>
    </row>
    <row r="391" spans="1:6">
      <c r="A391" s="94"/>
      <c r="B391" s="110" t="s">
        <v>442</v>
      </c>
      <c r="C391" s="406">
        <v>1.6</v>
      </c>
      <c r="D391" s="406">
        <v>3.66</v>
      </c>
      <c r="E391" s="406">
        <f>ROUNDDOWN(C391*D391,2)</f>
        <v>5.85</v>
      </c>
      <c r="F391" s="111"/>
    </row>
    <row r="392" spans="1:6">
      <c r="A392" s="94"/>
      <c r="B392" s="300" t="s">
        <v>443</v>
      </c>
      <c r="C392" s="406">
        <v>1.6</v>
      </c>
      <c r="D392" s="113">
        <v>3.66</v>
      </c>
      <c r="E392" s="406">
        <f>ROUNDDOWN(C392*D392,2)</f>
        <v>5.85</v>
      </c>
      <c r="F392" s="111"/>
    </row>
    <row r="393" spans="1:6">
      <c r="A393" s="94"/>
      <c r="B393" s="110" t="s">
        <v>465</v>
      </c>
      <c r="C393" s="406">
        <v>7</v>
      </c>
      <c r="D393" s="406">
        <v>6</v>
      </c>
      <c r="E393" s="683">
        <f>ROUNDDOWN(C393*D393,2)</f>
        <v>42</v>
      </c>
      <c r="F393" s="111"/>
    </row>
    <row r="394" spans="1:6">
      <c r="A394" s="105"/>
      <c r="B394" s="110" t="s">
        <v>466</v>
      </c>
      <c r="C394" s="1001" t="s">
        <v>140</v>
      </c>
      <c r="D394" s="1001"/>
      <c r="E394" s="80">
        <v>24.62</v>
      </c>
      <c r="F394" s="115"/>
    </row>
    <row r="395" spans="1:6">
      <c r="A395" s="87"/>
      <c r="B395" s="300" t="s">
        <v>432</v>
      </c>
      <c r="C395" s="152">
        <v>4.21</v>
      </c>
      <c r="D395" s="152">
        <v>2.97</v>
      </c>
      <c r="E395" s="683">
        <f>ROUNDDOWN(C395*D395,2)</f>
        <v>12.5</v>
      </c>
      <c r="F395" s="131"/>
    </row>
    <row r="396" spans="1:6">
      <c r="A396" s="105"/>
      <c r="B396" s="522" t="s">
        <v>572</v>
      </c>
      <c r="C396" s="1000" t="s">
        <v>140</v>
      </c>
      <c r="D396" s="1000"/>
      <c r="E396" s="529">
        <v>1.19</v>
      </c>
      <c r="F396" s="115"/>
    </row>
    <row r="397" spans="1:6">
      <c r="A397" s="105"/>
      <c r="B397" s="530" t="s">
        <v>583</v>
      </c>
      <c r="C397" s="535">
        <v>9.6</v>
      </c>
      <c r="D397" s="535">
        <v>1.2</v>
      </c>
      <c r="E397" s="683">
        <f>ROUNDDOWN(C397*D397,2)</f>
        <v>11.52</v>
      </c>
      <c r="F397" s="115"/>
    </row>
    <row r="398" spans="1:6" ht="26.25" thickBot="1">
      <c r="A398" s="87"/>
      <c r="B398" s="206" t="s">
        <v>613</v>
      </c>
      <c r="C398" s="523">
        <v>2.0699999999999998</v>
      </c>
      <c r="D398" s="523">
        <v>2.97</v>
      </c>
      <c r="E398" s="683">
        <f>ROUNDDOWN(C398*D398,2)</f>
        <v>6.14</v>
      </c>
      <c r="F398" s="131"/>
    </row>
    <row r="399" spans="1:6" s="81" customFormat="1" ht="54" customHeight="1" thickBot="1">
      <c r="A399" s="74" t="s">
        <v>609</v>
      </c>
      <c r="B399" s="871" t="s">
        <v>610</v>
      </c>
      <c r="C399" s="871"/>
      <c r="D399" s="871"/>
      <c r="E399" s="75" t="s">
        <v>123</v>
      </c>
      <c r="F399" s="76">
        <f>ROUNDDOWN(E401+E402+E403+E404+E405,2)</f>
        <v>55.97</v>
      </c>
    </row>
    <row r="400" spans="1:6">
      <c r="A400" s="82"/>
      <c r="B400" s="77" t="s">
        <v>119</v>
      </c>
      <c r="C400" s="77" t="s">
        <v>120</v>
      </c>
      <c r="D400" s="108" t="s">
        <v>121</v>
      </c>
      <c r="E400" s="77" t="s">
        <v>13</v>
      </c>
      <c r="F400" s="109"/>
    </row>
    <row r="401" spans="1:6">
      <c r="A401" s="105"/>
      <c r="B401" s="110" t="s">
        <v>466</v>
      </c>
      <c r="C401" s="1001" t="s">
        <v>140</v>
      </c>
      <c r="D401" s="1001"/>
      <c r="E401" s="80">
        <v>24.62</v>
      </c>
      <c r="F401" s="115"/>
    </row>
    <row r="402" spans="1:6" ht="25.5">
      <c r="A402" s="87"/>
      <c r="B402" s="206" t="s">
        <v>432</v>
      </c>
      <c r="C402" s="152">
        <v>4.21</v>
      </c>
      <c r="D402" s="152">
        <v>2.97</v>
      </c>
      <c r="E402" s="683">
        <f>ROUNDDOWN(C402*D402,2)</f>
        <v>12.5</v>
      </c>
      <c r="F402" s="131"/>
    </row>
    <row r="403" spans="1:6">
      <c r="A403" s="105"/>
      <c r="B403" s="522" t="s">
        <v>572</v>
      </c>
      <c r="C403" s="1000" t="s">
        <v>140</v>
      </c>
      <c r="D403" s="1000"/>
      <c r="E403" s="529">
        <v>1.19</v>
      </c>
      <c r="F403" s="115"/>
    </row>
    <row r="404" spans="1:6">
      <c r="A404" s="87"/>
      <c r="B404" s="300" t="s">
        <v>583</v>
      </c>
      <c r="C404" s="523">
        <v>9.6</v>
      </c>
      <c r="D404" s="523">
        <v>1.2</v>
      </c>
      <c r="E404" s="683">
        <f>ROUNDDOWN(C404*D404,2)</f>
        <v>11.52</v>
      </c>
      <c r="F404" s="131"/>
    </row>
    <row r="405" spans="1:6" ht="26.25" thickBot="1">
      <c r="A405" s="105"/>
      <c r="B405" s="680" t="s">
        <v>613</v>
      </c>
      <c r="C405" s="535">
        <v>2.0699999999999998</v>
      </c>
      <c r="D405" s="535">
        <v>2.97</v>
      </c>
      <c r="E405" s="683">
        <f>ROUNDDOWN(C405*D405,2)</f>
        <v>6.14</v>
      </c>
      <c r="F405" s="115"/>
    </row>
    <row r="406" spans="1:6" s="81" customFormat="1" ht="42" customHeight="1" thickBot="1">
      <c r="A406" s="74">
        <v>87246</v>
      </c>
      <c r="B406" s="871" t="s">
        <v>237</v>
      </c>
      <c r="C406" s="871"/>
      <c r="D406" s="871"/>
      <c r="E406" s="75" t="s">
        <v>123</v>
      </c>
      <c r="F406" s="76">
        <f>ROUNDDOWN(E408,2)</f>
        <v>3.2</v>
      </c>
    </row>
    <row r="407" spans="1:6">
      <c r="A407" s="134"/>
      <c r="B407" s="128" t="s">
        <v>119</v>
      </c>
      <c r="C407" s="77" t="s">
        <v>120</v>
      </c>
      <c r="D407" s="84" t="s">
        <v>121</v>
      </c>
      <c r="E407" s="157" t="s">
        <v>141</v>
      </c>
      <c r="F407" s="379"/>
    </row>
    <row r="408" spans="1:6" ht="13.5" thickBot="1">
      <c r="A408" s="135"/>
      <c r="B408" s="110" t="s">
        <v>445</v>
      </c>
      <c r="C408" s="406">
        <v>1.6</v>
      </c>
      <c r="D408" s="406">
        <v>2</v>
      </c>
      <c r="E408" s="406">
        <f>ROUNDDOWN(C408*D408,2)</f>
        <v>3.2</v>
      </c>
      <c r="F408" s="133"/>
    </row>
    <row r="409" spans="1:6" ht="53.25" customHeight="1" thickBot="1">
      <c r="A409" s="74">
        <v>87247</v>
      </c>
      <c r="B409" s="871" t="s">
        <v>597</v>
      </c>
      <c r="C409" s="871"/>
      <c r="D409" s="871"/>
      <c r="E409" s="75" t="s">
        <v>123</v>
      </c>
      <c r="F409" s="76">
        <f>ROUNDDOWN(E411+E412,2)</f>
        <v>11.7</v>
      </c>
    </row>
    <row r="410" spans="1:6">
      <c r="A410" s="526"/>
      <c r="B410" s="128" t="s">
        <v>119</v>
      </c>
      <c r="C410" s="515" t="s">
        <v>120</v>
      </c>
      <c r="D410" s="84" t="s">
        <v>121</v>
      </c>
      <c r="E410" s="515" t="s">
        <v>141</v>
      </c>
      <c r="F410" s="119"/>
    </row>
    <row r="411" spans="1:6">
      <c r="A411" s="525"/>
      <c r="B411" s="514" t="s">
        <v>442</v>
      </c>
      <c r="C411" s="516">
        <v>1.6</v>
      </c>
      <c r="D411" s="516">
        <v>3.66</v>
      </c>
      <c r="E411" s="516">
        <f>ROUNDDOWN(C411*D411,2)</f>
        <v>5.85</v>
      </c>
      <c r="F411" s="115"/>
    </row>
    <row r="412" spans="1:6" ht="13.5" thickBot="1">
      <c r="A412" s="527"/>
      <c r="B412" s="300" t="s">
        <v>443</v>
      </c>
      <c r="C412" s="516">
        <v>1.6</v>
      </c>
      <c r="D412" s="113">
        <v>3.66</v>
      </c>
      <c r="E412" s="516">
        <f>ROUNDDOWN(C412*D412,2)</f>
        <v>5.85</v>
      </c>
      <c r="F412" s="131"/>
    </row>
    <row r="413" spans="1:6" ht="55.5" customHeight="1" thickBot="1">
      <c r="A413" s="74">
        <v>87248</v>
      </c>
      <c r="B413" s="871" t="s">
        <v>598</v>
      </c>
      <c r="C413" s="871"/>
      <c r="D413" s="871"/>
      <c r="E413" s="75" t="s">
        <v>123</v>
      </c>
      <c r="F413" s="76">
        <f>ROUNDDOWN(E415,2)</f>
        <v>42</v>
      </c>
    </row>
    <row r="414" spans="1:6">
      <c r="A414" s="526"/>
      <c r="B414" s="128" t="s">
        <v>119</v>
      </c>
      <c r="C414" s="515" t="s">
        <v>120</v>
      </c>
      <c r="D414" s="84" t="s">
        <v>121</v>
      </c>
      <c r="E414" s="515" t="s">
        <v>141</v>
      </c>
      <c r="F414" s="119"/>
    </row>
    <row r="415" spans="1:6" ht="13.5" thickBot="1">
      <c r="A415" s="528"/>
      <c r="B415" s="300" t="s">
        <v>465</v>
      </c>
      <c r="C415" s="113">
        <v>7</v>
      </c>
      <c r="D415" s="113">
        <v>6</v>
      </c>
      <c r="E415" s="88">
        <f>D415*C415</f>
        <v>42</v>
      </c>
      <c r="F415" s="131"/>
    </row>
    <row r="416" spans="1:6" s="81" customFormat="1" ht="40.5" customHeight="1" thickBot="1">
      <c r="A416" s="74">
        <v>84161</v>
      </c>
      <c r="B416" s="871" t="s">
        <v>238</v>
      </c>
      <c r="C416" s="871"/>
      <c r="D416" s="871"/>
      <c r="E416" s="75" t="s">
        <v>17</v>
      </c>
      <c r="F416" s="137">
        <f>ROUNDDOWN(C418+C419+C420+C421+C422,2)</f>
        <v>6.3</v>
      </c>
    </row>
    <row r="417" spans="1:6">
      <c r="A417" s="134"/>
      <c r="B417" s="128" t="s">
        <v>119</v>
      </c>
      <c r="C417" s="77" t="s">
        <v>120</v>
      </c>
      <c r="D417" s="119"/>
      <c r="E417" s="157"/>
      <c r="F417" s="129"/>
    </row>
    <row r="418" spans="1:6">
      <c r="A418" s="135"/>
      <c r="B418" s="110" t="s">
        <v>445</v>
      </c>
      <c r="C418" s="115">
        <v>0.8</v>
      </c>
      <c r="D418" s="131"/>
      <c r="E418" s="115"/>
      <c r="F418" s="133"/>
    </row>
    <row r="419" spans="1:6">
      <c r="A419" s="136"/>
      <c r="B419" s="110" t="s">
        <v>442</v>
      </c>
      <c r="C419" s="115">
        <v>0.8</v>
      </c>
      <c r="D419" s="131"/>
      <c r="E419" s="131"/>
      <c r="F419" s="111"/>
    </row>
    <row r="420" spans="1:6">
      <c r="A420" s="136"/>
      <c r="B420" s="300" t="s">
        <v>443</v>
      </c>
      <c r="C420" s="115">
        <v>0.8</v>
      </c>
      <c r="D420" s="131"/>
      <c r="E420" s="131"/>
      <c r="F420" s="111"/>
    </row>
    <row r="421" spans="1:6">
      <c r="A421" s="136"/>
      <c r="B421" s="300" t="s">
        <v>465</v>
      </c>
      <c r="C421" s="131">
        <v>0.9</v>
      </c>
      <c r="D421" s="131"/>
      <c r="E421" s="131"/>
      <c r="F421" s="111"/>
    </row>
    <row r="422" spans="1:6" ht="13.5" thickBot="1">
      <c r="A422" s="504"/>
      <c r="B422" s="300" t="s">
        <v>448</v>
      </c>
      <c r="C422" s="131">
        <v>3</v>
      </c>
      <c r="D422" s="392"/>
      <c r="E422" s="392"/>
      <c r="F422" s="503"/>
    </row>
    <row r="423" spans="1:6" s="81" customFormat="1" ht="54" customHeight="1" thickBot="1">
      <c r="A423" s="74">
        <v>84088</v>
      </c>
      <c r="B423" s="871" t="s">
        <v>239</v>
      </c>
      <c r="C423" s="871"/>
      <c r="D423" s="871"/>
      <c r="E423" s="75" t="s">
        <v>17</v>
      </c>
      <c r="F423" s="137">
        <f>ROUNDDOWN(E425+E426+E427+E428+E429+E430+E431+E432+E433+E434+E435+E436+E437+E438+E439+E440+E441+E442,2)</f>
        <v>48.3</v>
      </c>
    </row>
    <row r="424" spans="1:6">
      <c r="A424" s="77"/>
      <c r="B424" s="77" t="s">
        <v>119</v>
      </c>
      <c r="C424" s="77" t="s">
        <v>120</v>
      </c>
      <c r="D424" s="118" t="s">
        <v>23</v>
      </c>
      <c r="E424" s="77" t="s">
        <v>13</v>
      </c>
      <c r="F424" s="119"/>
    </row>
    <row r="425" spans="1:6">
      <c r="A425" s="980" t="s">
        <v>441</v>
      </c>
      <c r="B425" s="110" t="s">
        <v>150</v>
      </c>
      <c r="C425" s="448">
        <v>1.6</v>
      </c>
      <c r="D425" s="125">
        <v>2</v>
      </c>
      <c r="E425" s="126">
        <f>ROUNDDOWN(D425*C425,2)</f>
        <v>3.2</v>
      </c>
      <c r="F425" s="115"/>
    </row>
    <row r="426" spans="1:6">
      <c r="A426" s="980"/>
      <c r="B426" s="110" t="s">
        <v>151</v>
      </c>
      <c r="C426" s="448">
        <v>2</v>
      </c>
      <c r="D426" s="125">
        <v>2</v>
      </c>
      <c r="E426" s="126">
        <f t="shared" ref="E426:E442" si="15">ROUNDDOWN(D426*C426,2)</f>
        <v>4</v>
      </c>
      <c r="F426" s="127"/>
    </row>
    <row r="427" spans="1:6">
      <c r="A427" s="481"/>
      <c r="B427" s="482" t="s">
        <v>445</v>
      </c>
      <c r="C427" s="448">
        <v>0.6</v>
      </c>
      <c r="D427" s="125">
        <v>1</v>
      </c>
      <c r="E427" s="126">
        <f t="shared" si="15"/>
        <v>0.6</v>
      </c>
      <c r="F427" s="127"/>
    </row>
    <row r="428" spans="1:6">
      <c r="A428" s="481"/>
      <c r="B428" s="482" t="s">
        <v>467</v>
      </c>
      <c r="C428" s="448">
        <v>1.25</v>
      </c>
      <c r="D428" s="125">
        <v>1</v>
      </c>
      <c r="E428" s="126">
        <f t="shared" si="15"/>
        <v>1.25</v>
      </c>
      <c r="F428" s="127"/>
    </row>
    <row r="429" spans="1:6">
      <c r="A429" s="483"/>
      <c r="B429" s="482" t="s">
        <v>443</v>
      </c>
      <c r="C429" s="448">
        <v>1.25</v>
      </c>
      <c r="D429" s="125">
        <v>1</v>
      </c>
      <c r="E429" s="126">
        <f t="shared" si="15"/>
        <v>1.25</v>
      </c>
      <c r="F429" s="127"/>
    </row>
    <row r="430" spans="1:6">
      <c r="A430" s="483"/>
      <c r="B430" s="482" t="s">
        <v>517</v>
      </c>
      <c r="C430" s="448">
        <v>2</v>
      </c>
      <c r="D430" s="125">
        <v>1</v>
      </c>
      <c r="E430" s="126">
        <f t="shared" si="15"/>
        <v>2</v>
      </c>
      <c r="F430" s="127"/>
    </row>
    <row r="431" spans="1:6">
      <c r="A431" s="483"/>
      <c r="B431" s="482" t="s">
        <v>516</v>
      </c>
      <c r="C431" s="448">
        <v>2</v>
      </c>
      <c r="D431" s="125">
        <v>2</v>
      </c>
      <c r="E431" s="126">
        <f t="shared" si="15"/>
        <v>4</v>
      </c>
      <c r="F431" s="127"/>
    </row>
    <row r="432" spans="1:6">
      <c r="A432" s="483"/>
      <c r="B432" s="482" t="s">
        <v>393</v>
      </c>
      <c r="C432" s="448">
        <v>2</v>
      </c>
      <c r="D432" s="125">
        <v>2</v>
      </c>
      <c r="E432" s="126">
        <f t="shared" si="15"/>
        <v>4</v>
      </c>
      <c r="F432" s="127"/>
    </row>
    <row r="433" spans="1:6">
      <c r="A433" s="483"/>
      <c r="B433" s="482" t="s">
        <v>394</v>
      </c>
      <c r="C433" s="683">
        <v>2</v>
      </c>
      <c r="D433" s="125">
        <v>2</v>
      </c>
      <c r="E433" s="126">
        <f t="shared" si="15"/>
        <v>4</v>
      </c>
      <c r="F433" s="692"/>
    </row>
    <row r="434" spans="1:6">
      <c r="A434" s="953" t="s">
        <v>697</v>
      </c>
      <c r="B434" s="679" t="s">
        <v>150</v>
      </c>
      <c r="C434" s="683">
        <v>1.6</v>
      </c>
      <c r="D434" s="125">
        <v>1</v>
      </c>
      <c r="E434" s="126">
        <f t="shared" si="15"/>
        <v>1.6</v>
      </c>
      <c r="F434" s="115"/>
    </row>
    <row r="435" spans="1:6">
      <c r="A435" s="953"/>
      <c r="B435" s="679" t="s">
        <v>151</v>
      </c>
      <c r="C435" s="683">
        <v>2</v>
      </c>
      <c r="D435" s="125">
        <v>2</v>
      </c>
      <c r="E435" s="126">
        <f t="shared" si="15"/>
        <v>4</v>
      </c>
      <c r="F435" s="692"/>
    </row>
    <row r="436" spans="1:6">
      <c r="A436" s="953" t="s">
        <v>700</v>
      </c>
      <c r="B436" s="679" t="s">
        <v>150</v>
      </c>
      <c r="C436" s="683">
        <v>1.6</v>
      </c>
      <c r="D436" s="125">
        <v>1</v>
      </c>
      <c r="E436" s="126">
        <f t="shared" si="15"/>
        <v>1.6</v>
      </c>
      <c r="F436" s="692"/>
    </row>
    <row r="437" spans="1:6">
      <c r="A437" s="953"/>
      <c r="B437" s="679" t="s">
        <v>151</v>
      </c>
      <c r="C437" s="683">
        <v>2</v>
      </c>
      <c r="D437" s="125">
        <v>2</v>
      </c>
      <c r="E437" s="126">
        <f t="shared" si="15"/>
        <v>4</v>
      </c>
      <c r="F437" s="692"/>
    </row>
    <row r="438" spans="1:6">
      <c r="A438" s="953" t="s">
        <v>701</v>
      </c>
      <c r="B438" s="679" t="s">
        <v>150</v>
      </c>
      <c r="C438" s="683">
        <v>1.6</v>
      </c>
      <c r="D438" s="125">
        <v>1</v>
      </c>
      <c r="E438" s="126">
        <f t="shared" si="15"/>
        <v>1.6</v>
      </c>
      <c r="F438" s="692"/>
    </row>
    <row r="439" spans="1:6">
      <c r="A439" s="953"/>
      <c r="B439" s="679" t="s">
        <v>151</v>
      </c>
      <c r="C439" s="683">
        <v>2</v>
      </c>
      <c r="D439" s="125">
        <v>2</v>
      </c>
      <c r="E439" s="126">
        <f t="shared" si="15"/>
        <v>4</v>
      </c>
      <c r="F439" s="692"/>
    </row>
    <row r="440" spans="1:6">
      <c r="A440" s="953" t="s">
        <v>393</v>
      </c>
      <c r="B440" s="679" t="s">
        <v>150</v>
      </c>
      <c r="C440" s="683">
        <v>1.6</v>
      </c>
      <c r="D440" s="125">
        <v>1</v>
      </c>
      <c r="E440" s="126">
        <f>ROUNDDOWN(D440*C440,2)</f>
        <v>1.6</v>
      </c>
      <c r="F440" s="692"/>
    </row>
    <row r="441" spans="1:6">
      <c r="A441" s="953"/>
      <c r="B441" s="679" t="s">
        <v>151</v>
      </c>
      <c r="C441" s="683">
        <v>2</v>
      </c>
      <c r="D441" s="125">
        <v>2</v>
      </c>
      <c r="E441" s="126">
        <f t="shared" si="15"/>
        <v>4</v>
      </c>
      <c r="F441" s="692"/>
    </row>
    <row r="442" spans="1:6" ht="13.5" thickBot="1">
      <c r="A442" s="711"/>
      <c r="B442" s="539" t="s">
        <v>558</v>
      </c>
      <c r="C442" s="683">
        <v>1.6</v>
      </c>
      <c r="D442" s="125">
        <v>1</v>
      </c>
      <c r="E442" s="126">
        <f t="shared" si="15"/>
        <v>1.6</v>
      </c>
      <c r="F442" s="217"/>
    </row>
    <row r="443" spans="1:6" ht="39.75" customHeight="1" thickBot="1">
      <c r="A443" s="74">
        <v>88648</v>
      </c>
      <c r="B443" s="871" t="s">
        <v>240</v>
      </c>
      <c r="C443" s="871"/>
      <c r="D443" s="871"/>
      <c r="E443" s="75" t="s">
        <v>17</v>
      </c>
      <c r="F443" s="137">
        <f>ROUNDDOWN(C445+C446+C447+C448+C449+C450+C451+C452+C453+C454+C455,2)</f>
        <v>256.58</v>
      </c>
    </row>
    <row r="444" spans="1:6">
      <c r="A444" s="135"/>
      <c r="B444" s="128" t="s">
        <v>119</v>
      </c>
      <c r="C444" s="77" t="s">
        <v>120</v>
      </c>
      <c r="D444" s="115"/>
      <c r="E444" s="115"/>
      <c r="F444" s="133"/>
    </row>
    <row r="445" spans="1:6">
      <c r="A445" s="136"/>
      <c r="B445" s="300" t="s">
        <v>465</v>
      </c>
      <c r="C445" s="131">
        <f>26-0.9</f>
        <v>25.1</v>
      </c>
      <c r="D445" s="131"/>
      <c r="E445" s="131"/>
      <c r="F445" s="111"/>
    </row>
    <row r="446" spans="1:6">
      <c r="A446" s="425"/>
      <c r="B446" s="110" t="s">
        <v>468</v>
      </c>
      <c r="C446" s="115">
        <f>22.91-0.9-0.8-0.8-0.8-2.27</f>
        <v>17.34</v>
      </c>
      <c r="D446" s="115"/>
      <c r="E446" s="115"/>
      <c r="F446" s="115"/>
    </row>
    <row r="447" spans="1:6">
      <c r="A447" s="425"/>
      <c r="B447" s="110" t="s">
        <v>469</v>
      </c>
      <c r="C447" s="115">
        <f>21.44-0.8</f>
        <v>20.64</v>
      </c>
      <c r="D447" s="115"/>
      <c r="E447" s="115"/>
      <c r="F447" s="115"/>
    </row>
    <row r="448" spans="1:6">
      <c r="A448" s="425"/>
      <c r="B448" s="110" t="s">
        <v>470</v>
      </c>
      <c r="C448" s="115">
        <f>21.34-0.8</f>
        <v>20.54</v>
      </c>
      <c r="D448" s="115"/>
      <c r="E448" s="115"/>
      <c r="F448" s="115"/>
    </row>
    <row r="449" spans="1:7">
      <c r="A449" s="425"/>
      <c r="B449" s="110" t="s">
        <v>152</v>
      </c>
      <c r="C449" s="115">
        <f>21.28-0.8</f>
        <v>20.48</v>
      </c>
      <c r="D449" s="115"/>
      <c r="E449" s="115"/>
      <c r="F449" s="115"/>
    </row>
    <row r="450" spans="1:7">
      <c r="A450" s="425"/>
      <c r="B450" s="110" t="s">
        <v>197</v>
      </c>
      <c r="C450" s="115">
        <f>21.18-0.8</f>
        <v>20.38</v>
      </c>
      <c r="D450" s="115"/>
      <c r="E450" s="115"/>
      <c r="F450" s="115"/>
    </row>
    <row r="451" spans="1:7" ht="25.5">
      <c r="A451" s="425"/>
      <c r="B451" s="680" t="s">
        <v>472</v>
      </c>
      <c r="C451" s="115">
        <f>(11.02-0.8)+(8.44-0.8)</f>
        <v>17.86</v>
      </c>
      <c r="D451" s="115"/>
      <c r="E451" s="115"/>
      <c r="F451" s="115"/>
    </row>
    <row r="452" spans="1:7">
      <c r="A452" s="425"/>
      <c r="B452" s="110" t="s">
        <v>473</v>
      </c>
      <c r="C452" s="115">
        <f>57-1.04-1.03+23.63-0.82</f>
        <v>77.740000000000009</v>
      </c>
      <c r="D452" s="115"/>
      <c r="E452" s="115"/>
      <c r="F452" s="115"/>
    </row>
    <row r="453" spans="1:7">
      <c r="A453" s="419"/>
      <c r="B453" s="300" t="s">
        <v>474</v>
      </c>
      <c r="C453" s="131">
        <f>6*0.8</f>
        <v>4.8000000000000007</v>
      </c>
      <c r="D453" s="131"/>
      <c r="E453" s="131"/>
      <c r="F453" s="131"/>
    </row>
    <row r="454" spans="1:7">
      <c r="A454" s="425"/>
      <c r="B454" s="485" t="s">
        <v>198</v>
      </c>
      <c r="C454" s="115">
        <f>16.65-0.8</f>
        <v>15.849999999999998</v>
      </c>
      <c r="D454" s="115"/>
      <c r="E454" s="115"/>
      <c r="F454" s="115"/>
    </row>
    <row r="455" spans="1:7" ht="13.5" thickBot="1">
      <c r="A455" s="504"/>
      <c r="B455" s="300" t="s">
        <v>490</v>
      </c>
      <c r="C455" s="131">
        <f>16.65-0.8</f>
        <v>15.849999999999998</v>
      </c>
      <c r="D455" s="131"/>
      <c r="E455" s="131"/>
      <c r="F455" s="131"/>
    </row>
    <row r="456" spans="1:7" ht="13.5" thickBot="1">
      <c r="A456" s="73">
        <v>12</v>
      </c>
      <c r="B456" s="890" t="s">
        <v>144</v>
      </c>
      <c r="C456" s="891"/>
      <c r="D456" s="891"/>
      <c r="E456" s="891"/>
      <c r="F456" s="892"/>
    </row>
    <row r="457" spans="1:7" ht="27" customHeight="1" thickBot="1">
      <c r="A457" s="550">
        <v>89446</v>
      </c>
      <c r="B457" s="908" t="s">
        <v>276</v>
      </c>
      <c r="C457" s="908"/>
      <c r="D457" s="908"/>
      <c r="E457" s="628" t="s">
        <v>17</v>
      </c>
      <c r="F457" s="629">
        <f>E458+10%</f>
        <v>7.5</v>
      </c>
    </row>
    <row r="458" spans="1:7" ht="15.75" customHeight="1" thickBot="1">
      <c r="A458" s="630"/>
      <c r="B458" s="909" t="s">
        <v>639</v>
      </c>
      <c r="C458" s="910"/>
      <c r="D458" s="911"/>
      <c r="E458" s="565">
        <f>0.69+1.97+2.87+1.87</f>
        <v>7.4</v>
      </c>
      <c r="F458" s="567"/>
    </row>
    <row r="459" spans="1:7" ht="38.25" customHeight="1" thickBot="1">
      <c r="A459" s="550">
        <v>89362</v>
      </c>
      <c r="B459" s="908" t="s">
        <v>277</v>
      </c>
      <c r="C459" s="908"/>
      <c r="D459" s="908"/>
      <c r="E459" s="628" t="s">
        <v>69</v>
      </c>
      <c r="F459" s="629">
        <v>2</v>
      </c>
    </row>
    <row r="460" spans="1:7" ht="15.75" customHeight="1" thickBot="1">
      <c r="A460" s="630"/>
      <c r="B460" s="909" t="s">
        <v>314</v>
      </c>
      <c r="C460" s="910"/>
      <c r="D460" s="911"/>
      <c r="E460" s="565"/>
      <c r="F460" s="567"/>
    </row>
    <row r="461" spans="1:7" ht="45.75" customHeight="1" thickBot="1">
      <c r="A461" s="550">
        <v>89497</v>
      </c>
      <c r="B461" s="908" t="s">
        <v>642</v>
      </c>
      <c r="C461" s="908"/>
      <c r="D461" s="908"/>
      <c r="E461" s="628" t="s">
        <v>69</v>
      </c>
      <c r="F461" s="629">
        <v>2</v>
      </c>
      <c r="G461" s="69" t="s">
        <v>660</v>
      </c>
    </row>
    <row r="462" spans="1:7" ht="15.75" customHeight="1" thickBot="1">
      <c r="A462" s="630" t="s">
        <v>641</v>
      </c>
      <c r="B462" s="909" t="s">
        <v>314</v>
      </c>
      <c r="C462" s="910"/>
      <c r="D462" s="911"/>
      <c r="E462" s="565"/>
      <c r="F462" s="567"/>
    </row>
    <row r="463" spans="1:7" ht="53.25" customHeight="1" thickBot="1">
      <c r="A463" s="550">
        <v>89383</v>
      </c>
      <c r="B463" s="908" t="s">
        <v>278</v>
      </c>
      <c r="C463" s="908"/>
      <c r="D463" s="908"/>
      <c r="E463" s="628" t="s">
        <v>69</v>
      </c>
      <c r="F463" s="629">
        <v>5</v>
      </c>
    </row>
    <row r="464" spans="1:7" ht="15.75" customHeight="1" thickBot="1">
      <c r="A464" s="135"/>
      <c r="B464" s="872" t="s">
        <v>314</v>
      </c>
      <c r="C464" s="873"/>
      <c r="D464" s="874"/>
      <c r="E464" s="115"/>
      <c r="F464" s="133"/>
    </row>
    <row r="465" spans="1:8" ht="29.25" customHeight="1" thickBot="1">
      <c r="A465" s="550">
        <v>89353</v>
      </c>
      <c r="B465" s="908" t="s">
        <v>279</v>
      </c>
      <c r="C465" s="908"/>
      <c r="D465" s="908"/>
      <c r="E465" s="628" t="s">
        <v>69</v>
      </c>
      <c r="F465" s="629">
        <v>3</v>
      </c>
    </row>
    <row r="466" spans="1:8" ht="15.75" customHeight="1" thickBot="1">
      <c r="A466" s="135"/>
      <c r="B466" s="872" t="s">
        <v>314</v>
      </c>
      <c r="C466" s="873"/>
      <c r="D466" s="874"/>
      <c r="E466" s="115"/>
      <c r="F466" s="133"/>
    </row>
    <row r="467" spans="1:8" ht="27" customHeight="1" thickBot="1">
      <c r="A467" s="550">
        <v>72784</v>
      </c>
      <c r="B467" s="908" t="s">
        <v>280</v>
      </c>
      <c r="C467" s="908"/>
      <c r="D467" s="908"/>
      <c r="E467" s="628" t="s">
        <v>69</v>
      </c>
      <c r="F467" s="629">
        <v>1</v>
      </c>
    </row>
    <row r="468" spans="1:8" ht="13.5" thickBot="1">
      <c r="A468" s="630"/>
      <c r="B468" s="909" t="s">
        <v>314</v>
      </c>
      <c r="C468" s="910"/>
      <c r="D468" s="911"/>
      <c r="E468" s="565"/>
      <c r="F468" s="567"/>
    </row>
    <row r="469" spans="1:8" ht="27" customHeight="1" thickBot="1">
      <c r="A469" s="550" t="s">
        <v>255</v>
      </c>
      <c r="B469" s="908" t="s">
        <v>281</v>
      </c>
      <c r="C469" s="908"/>
      <c r="D469" s="908"/>
      <c r="E469" s="628" t="s">
        <v>69</v>
      </c>
      <c r="F469" s="629">
        <v>1</v>
      </c>
    </row>
    <row r="470" spans="1:8" ht="13.5" thickBot="1">
      <c r="A470" s="630"/>
      <c r="B470" s="909" t="s">
        <v>314</v>
      </c>
      <c r="C470" s="910"/>
      <c r="D470" s="911"/>
      <c r="E470" s="565"/>
      <c r="F470" s="567"/>
    </row>
    <row r="471" spans="1:8" ht="26.25" customHeight="1" thickBot="1">
      <c r="A471" s="550">
        <v>72785</v>
      </c>
      <c r="B471" s="908" t="s">
        <v>282</v>
      </c>
      <c r="C471" s="908"/>
      <c r="D471" s="908"/>
      <c r="E471" s="628" t="s">
        <v>69</v>
      </c>
      <c r="F471" s="629">
        <v>1</v>
      </c>
    </row>
    <row r="472" spans="1:8" ht="13.5" thickBot="1">
      <c r="A472" s="630"/>
      <c r="B472" s="909" t="s">
        <v>314</v>
      </c>
      <c r="C472" s="910"/>
      <c r="D472" s="911"/>
      <c r="E472" s="565"/>
      <c r="F472" s="567"/>
    </row>
    <row r="473" spans="1:8" ht="27.75" customHeight="1" thickBot="1">
      <c r="A473" s="550">
        <v>89447</v>
      </c>
      <c r="B473" s="908" t="s">
        <v>283</v>
      </c>
      <c r="C473" s="908"/>
      <c r="D473" s="908"/>
      <c r="E473" s="628" t="s">
        <v>17</v>
      </c>
      <c r="F473" s="629">
        <v>3</v>
      </c>
    </row>
    <row r="474" spans="1:8" ht="13.5" thickBot="1">
      <c r="A474" s="630"/>
      <c r="B474" s="909" t="s">
        <v>314</v>
      </c>
      <c r="C474" s="910"/>
      <c r="D474" s="911"/>
      <c r="E474" s="565"/>
      <c r="F474" s="567"/>
    </row>
    <row r="475" spans="1:8" ht="27" customHeight="1" thickBot="1">
      <c r="A475" s="550">
        <v>89367</v>
      </c>
      <c r="B475" s="908" t="s">
        <v>284</v>
      </c>
      <c r="C475" s="908"/>
      <c r="D475" s="908"/>
      <c r="E475" s="628" t="s">
        <v>69</v>
      </c>
      <c r="F475" s="629">
        <v>2</v>
      </c>
    </row>
    <row r="476" spans="1:8" ht="13.5" thickBot="1">
      <c r="A476" s="630"/>
      <c r="B476" s="909" t="s">
        <v>314</v>
      </c>
      <c r="C476" s="910"/>
      <c r="D476" s="911"/>
      <c r="E476" s="565"/>
      <c r="F476" s="567"/>
    </row>
    <row r="477" spans="1:8" ht="63" customHeight="1" thickBot="1">
      <c r="A477" s="640">
        <v>89391</v>
      </c>
      <c r="B477" s="875" t="s">
        <v>315</v>
      </c>
      <c r="C477" s="875"/>
      <c r="D477" s="875"/>
      <c r="E477" s="641" t="s">
        <v>69</v>
      </c>
      <c r="F477" s="642">
        <v>1</v>
      </c>
      <c r="H477" s="69" t="s">
        <v>640</v>
      </c>
    </row>
    <row r="478" spans="1:8" ht="13.5" thickBot="1">
      <c r="A478" s="135"/>
      <c r="B478" s="872" t="s">
        <v>314</v>
      </c>
      <c r="C478" s="873"/>
      <c r="D478" s="874"/>
      <c r="E478" s="115"/>
      <c r="F478" s="133"/>
    </row>
    <row r="479" spans="1:8" ht="58.5" customHeight="1" thickBot="1">
      <c r="A479" s="550">
        <v>89383</v>
      </c>
      <c r="B479" s="908" t="s">
        <v>644</v>
      </c>
      <c r="C479" s="908"/>
      <c r="D479" s="908"/>
      <c r="E479" s="628" t="s">
        <v>69</v>
      </c>
      <c r="F479" s="629">
        <v>5</v>
      </c>
    </row>
    <row r="480" spans="1:8" ht="13.5" thickBot="1">
      <c r="A480" s="630"/>
      <c r="B480" s="909" t="s">
        <v>314</v>
      </c>
      <c r="C480" s="910"/>
      <c r="D480" s="911"/>
      <c r="E480" s="565" t="s">
        <v>643</v>
      </c>
      <c r="F480" s="567"/>
    </row>
    <row r="481" spans="1:6" ht="13.5" thickBot="1">
      <c r="A481" s="633"/>
      <c r="B481" s="546"/>
      <c r="C481" s="547"/>
      <c r="D481" s="548"/>
      <c r="E481" s="392"/>
      <c r="F481" s="503"/>
    </row>
    <row r="482" spans="1:6" ht="27.75" customHeight="1" thickBot="1">
      <c r="A482" s="640" t="s">
        <v>271</v>
      </c>
      <c r="B482" s="875" t="s">
        <v>285</v>
      </c>
      <c r="C482" s="875"/>
      <c r="D482" s="875"/>
      <c r="E482" s="641" t="s">
        <v>17</v>
      </c>
      <c r="F482" s="642">
        <v>1</v>
      </c>
    </row>
    <row r="483" spans="1:6" ht="13.5" thickBot="1">
      <c r="A483" s="643"/>
      <c r="B483" s="876" t="s">
        <v>314</v>
      </c>
      <c r="C483" s="877"/>
      <c r="D483" s="878"/>
      <c r="E483" s="644"/>
      <c r="F483" s="645"/>
    </row>
    <row r="484" spans="1:6" ht="45.75" customHeight="1" thickBot="1">
      <c r="A484" s="550">
        <v>89400</v>
      </c>
      <c r="B484" s="908" t="s">
        <v>286</v>
      </c>
      <c r="C484" s="908"/>
      <c r="D484" s="908"/>
      <c r="E484" s="628" t="s">
        <v>69</v>
      </c>
      <c r="F484" s="629">
        <v>1</v>
      </c>
    </row>
    <row r="485" spans="1:6" ht="13.5" thickBot="1">
      <c r="A485" s="630"/>
      <c r="B485" s="909" t="s">
        <v>314</v>
      </c>
      <c r="C485" s="910"/>
      <c r="D485" s="911"/>
      <c r="E485" s="565"/>
      <c r="F485" s="567"/>
    </row>
    <row r="486" spans="1:6" ht="13.5" thickBot="1">
      <c r="A486" s="501" t="s">
        <v>146</v>
      </c>
      <c r="B486" s="982" t="s">
        <v>302</v>
      </c>
      <c r="C486" s="982"/>
      <c r="D486" s="982"/>
      <c r="E486" s="599" t="s">
        <v>69</v>
      </c>
      <c r="F486" s="631">
        <v>0</v>
      </c>
    </row>
    <row r="487" spans="1:6" ht="13.5" thickBot="1">
      <c r="A487" s="632"/>
      <c r="B487" s="929" t="s">
        <v>314</v>
      </c>
      <c r="C487" s="930"/>
      <c r="D487" s="931"/>
      <c r="E487" s="80"/>
      <c r="F487" s="98"/>
    </row>
    <row r="488" spans="1:6" ht="47.25" customHeight="1" thickBot="1">
      <c r="A488" s="668">
        <v>170550</v>
      </c>
      <c r="B488" s="937" t="s">
        <v>675</v>
      </c>
      <c r="C488" s="938"/>
      <c r="D488" s="939"/>
      <c r="E488" s="628" t="s">
        <v>69</v>
      </c>
      <c r="F488" s="669">
        <v>1</v>
      </c>
    </row>
    <row r="489" spans="1:6" ht="13.5" thickBot="1">
      <c r="A489" s="630"/>
      <c r="B489" s="909"/>
      <c r="C489" s="910"/>
      <c r="D489" s="911"/>
      <c r="E489" s="565"/>
      <c r="F489" s="567"/>
    </row>
    <row r="490" spans="1:6" ht="41.25" customHeight="1" thickBot="1">
      <c r="A490" s="640">
        <v>89357</v>
      </c>
      <c r="B490" s="875" t="s">
        <v>287</v>
      </c>
      <c r="C490" s="875"/>
      <c r="D490" s="875"/>
      <c r="E490" s="641" t="s">
        <v>17</v>
      </c>
      <c r="F490" s="642">
        <v>4</v>
      </c>
    </row>
    <row r="491" spans="1:6" ht="13.5" thickBot="1">
      <c r="A491" s="643"/>
      <c r="B491" s="876" t="s">
        <v>314</v>
      </c>
      <c r="C491" s="877"/>
      <c r="D491" s="878"/>
      <c r="E491" s="644"/>
      <c r="F491" s="645"/>
    </row>
    <row r="492" spans="1:6" ht="43.5" customHeight="1" thickBot="1">
      <c r="A492" s="74">
        <v>89356</v>
      </c>
      <c r="B492" s="871" t="s">
        <v>288</v>
      </c>
      <c r="C492" s="871"/>
      <c r="D492" s="871"/>
      <c r="E492" s="75" t="s">
        <v>17</v>
      </c>
      <c r="F492" s="137"/>
    </row>
    <row r="493" spans="1:6" ht="13.5" thickBot="1">
      <c r="A493" s="135"/>
      <c r="B493" s="872" t="s">
        <v>314</v>
      </c>
      <c r="C493" s="873"/>
      <c r="D493" s="874"/>
      <c r="E493" s="115"/>
      <c r="F493" s="133"/>
    </row>
    <row r="494" spans="1:6" ht="39" customHeight="1" thickBot="1">
      <c r="A494" s="74">
        <v>89368</v>
      </c>
      <c r="B494" s="871" t="s">
        <v>289</v>
      </c>
      <c r="C494" s="871"/>
      <c r="D494" s="871"/>
      <c r="E494" s="75" t="s">
        <v>69</v>
      </c>
      <c r="F494" s="137"/>
    </row>
    <row r="495" spans="1:6" ht="13.5" thickBot="1">
      <c r="A495" s="135"/>
      <c r="B495" s="872" t="s">
        <v>314</v>
      </c>
      <c r="C495" s="873"/>
      <c r="D495" s="874"/>
      <c r="E495" s="115"/>
      <c r="F495" s="133"/>
    </row>
    <row r="496" spans="1:6" ht="13.5" thickBot="1">
      <c r="A496" s="634"/>
      <c r="B496" s="635"/>
      <c r="C496" s="636"/>
      <c r="D496" s="637"/>
      <c r="E496" s="638"/>
      <c r="F496" s="639"/>
    </row>
    <row r="497" spans="1:6" ht="52.5" customHeight="1" thickBot="1">
      <c r="A497" s="640">
        <v>89714</v>
      </c>
      <c r="B497" s="875" t="s">
        <v>290</v>
      </c>
      <c r="C497" s="875"/>
      <c r="D497" s="875"/>
      <c r="E497" s="641" t="s">
        <v>17</v>
      </c>
      <c r="F497" s="642">
        <v>45</v>
      </c>
    </row>
    <row r="498" spans="1:6" ht="13.5" thickBot="1">
      <c r="A498" s="643"/>
      <c r="B498" s="876" t="s">
        <v>314</v>
      </c>
      <c r="C498" s="877"/>
      <c r="D498" s="878"/>
      <c r="E498" s="644"/>
      <c r="F498" s="645"/>
    </row>
    <row r="499" spans="1:6" ht="26.25" customHeight="1" thickBot="1">
      <c r="A499" s="640">
        <v>89744</v>
      </c>
      <c r="B499" s="875" t="s">
        <v>291</v>
      </c>
      <c r="C499" s="875"/>
      <c r="D499" s="875"/>
      <c r="E499" s="641" t="s">
        <v>69</v>
      </c>
      <c r="F499" s="642">
        <v>5</v>
      </c>
    </row>
    <row r="500" spans="1:6" ht="13.5" thickBot="1">
      <c r="A500" s="643"/>
      <c r="B500" s="876" t="s">
        <v>314</v>
      </c>
      <c r="C500" s="877"/>
      <c r="D500" s="878"/>
      <c r="E500" s="644"/>
      <c r="F500" s="645"/>
    </row>
    <row r="501" spans="1:6" ht="13.5" thickBot="1">
      <c r="A501" s="640">
        <v>72295</v>
      </c>
      <c r="B501" s="875" t="s">
        <v>292</v>
      </c>
      <c r="C501" s="875"/>
      <c r="D501" s="875"/>
      <c r="E501" s="641" t="s">
        <v>69</v>
      </c>
      <c r="F501" s="642">
        <v>5</v>
      </c>
    </row>
    <row r="502" spans="1:6" ht="13.5" thickBot="1">
      <c r="A502" s="643"/>
      <c r="B502" s="876" t="s">
        <v>314</v>
      </c>
      <c r="C502" s="877"/>
      <c r="D502" s="878"/>
      <c r="E502" s="644"/>
      <c r="F502" s="645"/>
    </row>
    <row r="503" spans="1:6" ht="41.25" customHeight="1" thickBot="1">
      <c r="A503" s="640">
        <v>89797</v>
      </c>
      <c r="B503" s="875" t="s">
        <v>293</v>
      </c>
      <c r="C503" s="875"/>
      <c r="D503" s="875"/>
      <c r="E503" s="641" t="s">
        <v>69</v>
      </c>
      <c r="F503" s="642">
        <v>5</v>
      </c>
    </row>
    <row r="504" spans="1:6" ht="13.5" thickBot="1">
      <c r="A504" s="643"/>
      <c r="B504" s="876" t="s">
        <v>314</v>
      </c>
      <c r="C504" s="877"/>
      <c r="D504" s="878"/>
      <c r="E504" s="644"/>
      <c r="F504" s="645"/>
    </row>
    <row r="505" spans="1:6" ht="29.25" customHeight="1" thickBot="1">
      <c r="A505" s="640">
        <v>89711</v>
      </c>
      <c r="B505" s="875" t="s">
        <v>294</v>
      </c>
      <c r="C505" s="875"/>
      <c r="D505" s="875"/>
      <c r="E505" s="641" t="s">
        <v>17</v>
      </c>
      <c r="F505" s="642">
        <v>8</v>
      </c>
    </row>
    <row r="506" spans="1:6" ht="13.5" thickBot="1">
      <c r="A506" s="643"/>
      <c r="B506" s="876" t="s">
        <v>314</v>
      </c>
      <c r="C506" s="877"/>
      <c r="D506" s="878"/>
      <c r="E506" s="644"/>
      <c r="F506" s="645"/>
    </row>
    <row r="507" spans="1:6" ht="39" customHeight="1" thickBot="1">
      <c r="A507" s="640">
        <v>89724</v>
      </c>
      <c r="B507" s="875" t="s">
        <v>295</v>
      </c>
      <c r="C507" s="875"/>
      <c r="D507" s="875"/>
      <c r="E507" s="641" t="s">
        <v>69</v>
      </c>
      <c r="F507" s="642">
        <v>8</v>
      </c>
    </row>
    <row r="508" spans="1:6" ht="13.5" thickBot="1">
      <c r="A508" s="643"/>
      <c r="B508" s="876" t="s">
        <v>314</v>
      </c>
      <c r="C508" s="877"/>
      <c r="D508" s="878"/>
      <c r="E508" s="644"/>
      <c r="F508" s="645"/>
    </row>
    <row r="509" spans="1:6" ht="41.25" customHeight="1" thickBot="1">
      <c r="A509" s="640">
        <v>89726</v>
      </c>
      <c r="B509" s="875" t="s">
        <v>296</v>
      </c>
      <c r="C509" s="875"/>
      <c r="D509" s="875"/>
      <c r="E509" s="641" t="s">
        <v>69</v>
      </c>
      <c r="F509" s="642">
        <v>2</v>
      </c>
    </row>
    <row r="510" spans="1:6" ht="13.5" thickBot="1">
      <c r="A510" s="643"/>
      <c r="B510" s="876" t="s">
        <v>314</v>
      </c>
      <c r="C510" s="877"/>
      <c r="D510" s="878"/>
      <c r="E510" s="644"/>
      <c r="F510" s="645"/>
    </row>
    <row r="511" spans="1:6" ht="39" customHeight="1" thickBot="1">
      <c r="A511" s="640">
        <v>89707</v>
      </c>
      <c r="B511" s="875" t="s">
        <v>297</v>
      </c>
      <c r="C511" s="875"/>
      <c r="D511" s="875"/>
      <c r="E511" s="641" t="s">
        <v>69</v>
      </c>
      <c r="F511" s="642">
        <v>6</v>
      </c>
    </row>
    <row r="512" spans="1:6">
      <c r="A512" s="646"/>
      <c r="B512" s="879" t="s">
        <v>314</v>
      </c>
      <c r="C512" s="880"/>
      <c r="D512" s="881"/>
      <c r="E512" s="647"/>
      <c r="F512" s="648"/>
    </row>
    <row r="513" spans="1:7" ht="39" customHeight="1" thickBot="1">
      <c r="A513" s="649" t="s">
        <v>658</v>
      </c>
      <c r="B513" s="941" t="s">
        <v>659</v>
      </c>
      <c r="C513" s="941"/>
      <c r="D513" s="941"/>
      <c r="E513" s="644" t="s">
        <v>69</v>
      </c>
      <c r="F513" s="644">
        <v>3</v>
      </c>
      <c r="G513" s="69" t="s">
        <v>660</v>
      </c>
    </row>
    <row r="514" spans="1:7">
      <c r="A514" s="649"/>
      <c r="B514" s="879" t="s">
        <v>314</v>
      </c>
      <c r="C514" s="880"/>
      <c r="D514" s="881"/>
      <c r="E514" s="647"/>
      <c r="F514" s="647"/>
    </row>
    <row r="515" spans="1:7" ht="55.5" customHeight="1" thickBot="1">
      <c r="A515" s="649">
        <v>89796</v>
      </c>
      <c r="B515" s="941" t="s">
        <v>665</v>
      </c>
      <c r="C515" s="941"/>
      <c r="D515" s="941"/>
      <c r="E515" s="644" t="s">
        <v>69</v>
      </c>
      <c r="F515" s="647">
        <v>7</v>
      </c>
      <c r="G515" s="69" t="s">
        <v>664</v>
      </c>
    </row>
    <row r="516" spans="1:7" ht="13.5" thickBot="1">
      <c r="A516" s="705"/>
      <c r="B516" s="879" t="s">
        <v>314</v>
      </c>
      <c r="C516" s="880"/>
      <c r="D516" s="881"/>
      <c r="E516" s="647"/>
      <c r="F516" s="647"/>
    </row>
    <row r="517" spans="1:7" ht="13.5" thickBot="1">
      <c r="A517" s="73">
        <v>13</v>
      </c>
      <c r="B517" s="882" t="s">
        <v>415</v>
      </c>
      <c r="C517" s="882"/>
      <c r="D517" s="882"/>
      <c r="E517" s="882"/>
      <c r="F517" s="883"/>
    </row>
    <row r="518" spans="1:7" ht="27" customHeight="1" thickBot="1">
      <c r="A518" s="147">
        <v>72310</v>
      </c>
      <c r="B518" s="942" t="s">
        <v>321</v>
      </c>
      <c r="C518" s="942"/>
      <c r="D518" s="942"/>
      <c r="E518" s="148" t="s">
        <v>17</v>
      </c>
      <c r="F518" s="650"/>
    </row>
    <row r="519" spans="1:7" ht="13.5" thickBot="1">
      <c r="A519" s="135"/>
      <c r="B519" s="872" t="s">
        <v>363</v>
      </c>
      <c r="C519" s="873"/>
      <c r="D519" s="874"/>
      <c r="E519" s="115"/>
      <c r="F519" s="133"/>
    </row>
    <row r="520" spans="1:7" ht="13.5" customHeight="1" thickBot="1">
      <c r="A520" s="74">
        <v>83450</v>
      </c>
      <c r="B520" s="871" t="s">
        <v>322</v>
      </c>
      <c r="C520" s="871"/>
      <c r="D520" s="871"/>
      <c r="E520" s="75" t="s">
        <v>69</v>
      </c>
      <c r="F520" s="137"/>
    </row>
    <row r="521" spans="1:7" ht="13.5" thickBot="1">
      <c r="A521" s="135"/>
      <c r="B521" s="872" t="s">
        <v>363</v>
      </c>
      <c r="C521" s="873"/>
      <c r="D521" s="874"/>
      <c r="E521" s="115"/>
      <c r="F521" s="133"/>
    </row>
    <row r="522" spans="1:7" ht="13.5" thickBot="1">
      <c r="A522" s="74">
        <v>72252</v>
      </c>
      <c r="B522" s="871" t="s">
        <v>323</v>
      </c>
      <c r="C522" s="871"/>
      <c r="D522" s="871"/>
      <c r="E522" s="75" t="s">
        <v>17</v>
      </c>
      <c r="F522" s="137"/>
    </row>
    <row r="523" spans="1:7" ht="13.5" thickBot="1">
      <c r="A523" s="135"/>
      <c r="B523" s="872" t="s">
        <v>363</v>
      </c>
      <c r="C523" s="873"/>
      <c r="D523" s="874"/>
      <c r="E523" s="115"/>
      <c r="F523" s="133"/>
    </row>
    <row r="524" spans="1:7" ht="13.5" customHeight="1" thickBot="1">
      <c r="A524" s="74">
        <v>68069</v>
      </c>
      <c r="B524" s="871" t="s">
        <v>324</v>
      </c>
      <c r="C524" s="871"/>
      <c r="D524" s="871"/>
      <c r="E524" s="75" t="s">
        <v>69</v>
      </c>
      <c r="F524" s="137"/>
    </row>
    <row r="525" spans="1:7" ht="13.5" thickBot="1">
      <c r="A525" s="135"/>
      <c r="B525" s="872" t="s">
        <v>363</v>
      </c>
      <c r="C525" s="873"/>
      <c r="D525" s="874"/>
      <c r="E525" s="115"/>
      <c r="F525" s="133"/>
    </row>
    <row r="526" spans="1:7" ht="40.5" customHeight="1" thickBot="1">
      <c r="A526" s="74" t="s">
        <v>325</v>
      </c>
      <c r="B526" s="871" t="s">
        <v>364</v>
      </c>
      <c r="C526" s="871"/>
      <c r="D526" s="871"/>
      <c r="E526" s="75" t="s">
        <v>69</v>
      </c>
      <c r="F526" s="137"/>
    </row>
    <row r="527" spans="1:7" ht="13.5" thickBot="1">
      <c r="A527" s="135"/>
      <c r="B527" s="872" t="s">
        <v>363</v>
      </c>
      <c r="C527" s="873"/>
      <c r="D527" s="874"/>
      <c r="E527" s="115"/>
      <c r="F527" s="133"/>
    </row>
    <row r="528" spans="1:7" ht="27" customHeight="1" thickBot="1">
      <c r="A528" s="74" t="s">
        <v>326</v>
      </c>
      <c r="B528" s="871" t="s">
        <v>365</v>
      </c>
      <c r="C528" s="871"/>
      <c r="D528" s="871"/>
      <c r="E528" s="75" t="s">
        <v>69</v>
      </c>
      <c r="F528" s="137"/>
    </row>
    <row r="529" spans="1:6" ht="13.5" thickBot="1">
      <c r="A529" s="135"/>
      <c r="B529" s="872" t="s">
        <v>363</v>
      </c>
      <c r="C529" s="873"/>
      <c r="D529" s="874"/>
      <c r="E529" s="115"/>
      <c r="F529" s="133"/>
    </row>
    <row r="530" spans="1:6" ht="27" customHeight="1" thickBot="1">
      <c r="A530" s="74" t="s">
        <v>327</v>
      </c>
      <c r="B530" s="871" t="s">
        <v>328</v>
      </c>
      <c r="C530" s="871"/>
      <c r="D530" s="871"/>
      <c r="E530" s="75" t="s">
        <v>69</v>
      </c>
      <c r="F530" s="137"/>
    </row>
    <row r="531" spans="1:6" ht="13.5" thickBot="1">
      <c r="A531" s="135"/>
      <c r="B531" s="872" t="s">
        <v>363</v>
      </c>
      <c r="C531" s="873"/>
      <c r="D531" s="874"/>
      <c r="E531" s="115"/>
      <c r="F531" s="133"/>
    </row>
    <row r="532" spans="1:6" ht="27" customHeight="1" thickBot="1">
      <c r="A532" s="74">
        <v>83475</v>
      </c>
      <c r="B532" s="871" t="s">
        <v>329</v>
      </c>
      <c r="C532" s="871"/>
      <c r="D532" s="871"/>
      <c r="E532" s="75" t="s">
        <v>69</v>
      </c>
      <c r="F532" s="137"/>
    </row>
    <row r="533" spans="1:6" ht="13.5" thickBot="1">
      <c r="A533" s="135"/>
      <c r="B533" s="872" t="s">
        <v>363</v>
      </c>
      <c r="C533" s="873"/>
      <c r="D533" s="874"/>
      <c r="E533" s="115"/>
      <c r="F533" s="133"/>
    </row>
    <row r="534" spans="1:6" ht="27" customHeight="1" thickBot="1">
      <c r="A534" s="74">
        <v>72935</v>
      </c>
      <c r="B534" s="871" t="s">
        <v>330</v>
      </c>
      <c r="C534" s="871"/>
      <c r="D534" s="871"/>
      <c r="E534" s="75" t="s">
        <v>17</v>
      </c>
      <c r="F534" s="137"/>
    </row>
    <row r="535" spans="1:6" ht="13.5" thickBot="1">
      <c r="A535" s="135"/>
      <c r="B535" s="872" t="s">
        <v>363</v>
      </c>
      <c r="C535" s="873"/>
      <c r="D535" s="874"/>
      <c r="E535" s="115"/>
      <c r="F535" s="133"/>
    </row>
    <row r="536" spans="1:6" ht="27.75" customHeight="1" thickBot="1">
      <c r="A536" s="74" t="s">
        <v>331</v>
      </c>
      <c r="B536" s="871" t="s">
        <v>332</v>
      </c>
      <c r="C536" s="871"/>
      <c r="D536" s="871"/>
      <c r="E536" s="75" t="s">
        <v>69</v>
      </c>
      <c r="F536" s="137"/>
    </row>
    <row r="537" spans="1:6" ht="13.5" thickBot="1">
      <c r="A537" s="135"/>
      <c r="B537" s="872" t="s">
        <v>363</v>
      </c>
      <c r="C537" s="873"/>
      <c r="D537" s="874"/>
      <c r="E537" s="115"/>
      <c r="F537" s="133"/>
    </row>
    <row r="538" spans="1:6" ht="27.75" customHeight="1" thickBot="1">
      <c r="A538" s="74" t="s">
        <v>333</v>
      </c>
      <c r="B538" s="871" t="s">
        <v>334</v>
      </c>
      <c r="C538" s="871"/>
      <c r="D538" s="871"/>
      <c r="E538" s="75" t="s">
        <v>17</v>
      </c>
      <c r="F538" s="137"/>
    </row>
    <row r="539" spans="1:6" ht="13.5" thickBot="1">
      <c r="A539" s="135"/>
      <c r="B539" s="872" t="s">
        <v>363</v>
      </c>
      <c r="C539" s="873"/>
      <c r="D539" s="874"/>
      <c r="E539" s="115"/>
      <c r="F539" s="133"/>
    </row>
    <row r="540" spans="1:6" ht="13.5" customHeight="1" thickBot="1">
      <c r="A540" s="74">
        <v>83540</v>
      </c>
      <c r="B540" s="871" t="s">
        <v>366</v>
      </c>
      <c r="C540" s="871"/>
      <c r="D540" s="871"/>
      <c r="E540" s="75" t="s">
        <v>69</v>
      </c>
      <c r="F540" s="137"/>
    </row>
    <row r="541" spans="1:6" ht="13.5" thickBot="1">
      <c r="A541" s="135"/>
      <c r="B541" s="872" t="s">
        <v>363</v>
      </c>
      <c r="C541" s="873"/>
      <c r="D541" s="874"/>
      <c r="E541" s="115"/>
      <c r="F541" s="133"/>
    </row>
    <row r="542" spans="1:6" ht="27.75" customHeight="1" thickBot="1">
      <c r="A542" s="74">
        <v>72331</v>
      </c>
      <c r="B542" s="871" t="s">
        <v>335</v>
      </c>
      <c r="C542" s="871"/>
      <c r="D542" s="871"/>
      <c r="E542" s="75" t="s">
        <v>69</v>
      </c>
      <c r="F542" s="137"/>
    </row>
    <row r="543" spans="1:6" ht="13.5" thickBot="1">
      <c r="A543" s="135"/>
      <c r="B543" s="872" t="s">
        <v>363</v>
      </c>
      <c r="C543" s="873"/>
      <c r="D543" s="874"/>
      <c r="E543" s="115"/>
      <c r="F543" s="133"/>
    </row>
    <row r="544" spans="1:6" ht="27" customHeight="1" thickBot="1">
      <c r="A544" s="74">
        <v>72332</v>
      </c>
      <c r="B544" s="871" t="s">
        <v>336</v>
      </c>
      <c r="C544" s="871"/>
      <c r="D544" s="871"/>
      <c r="E544" s="75" t="s">
        <v>69</v>
      </c>
      <c r="F544" s="137"/>
    </row>
    <row r="545" spans="1:6" ht="13.5" thickBot="1">
      <c r="A545" s="135"/>
      <c r="B545" s="872" t="s">
        <v>363</v>
      </c>
      <c r="C545" s="873"/>
      <c r="D545" s="874"/>
      <c r="E545" s="115"/>
      <c r="F545" s="133"/>
    </row>
    <row r="546" spans="1:6" ht="27" customHeight="1" thickBot="1">
      <c r="A546" s="74">
        <v>83467</v>
      </c>
      <c r="B546" s="871" t="s">
        <v>337</v>
      </c>
      <c r="C546" s="871"/>
      <c r="D546" s="871"/>
      <c r="E546" s="75" t="s">
        <v>69</v>
      </c>
      <c r="F546" s="137"/>
    </row>
    <row r="547" spans="1:6" ht="13.5" thickBot="1">
      <c r="A547" s="135"/>
      <c r="B547" s="872" t="s">
        <v>363</v>
      </c>
      <c r="C547" s="873"/>
      <c r="D547" s="874"/>
      <c r="E547" s="115"/>
      <c r="F547" s="133"/>
    </row>
    <row r="548" spans="1:6" ht="13.5" thickBot="1">
      <c r="A548" s="74">
        <v>72333</v>
      </c>
      <c r="B548" s="871" t="s">
        <v>338</v>
      </c>
      <c r="C548" s="871"/>
      <c r="D548" s="871"/>
      <c r="E548" s="75" t="s">
        <v>69</v>
      </c>
      <c r="F548" s="137"/>
    </row>
    <row r="549" spans="1:6" ht="13.5" thickBot="1">
      <c r="A549" s="135"/>
      <c r="B549" s="872" t="s">
        <v>363</v>
      </c>
      <c r="C549" s="873"/>
      <c r="D549" s="874"/>
      <c r="E549" s="115"/>
      <c r="F549" s="133"/>
    </row>
    <row r="550" spans="1:6" ht="13.5" thickBot="1">
      <c r="A550" s="74">
        <v>83566</v>
      </c>
      <c r="B550" s="871" t="s">
        <v>339</v>
      </c>
      <c r="C550" s="871"/>
      <c r="D550" s="871"/>
      <c r="E550" s="75" t="s">
        <v>69</v>
      </c>
      <c r="F550" s="137"/>
    </row>
    <row r="551" spans="1:6" ht="13.5" thickBot="1">
      <c r="A551" s="135"/>
      <c r="B551" s="872" t="s">
        <v>363</v>
      </c>
      <c r="C551" s="873"/>
      <c r="D551" s="874"/>
      <c r="E551" s="115"/>
      <c r="F551" s="133"/>
    </row>
    <row r="552" spans="1:6" ht="13.5" customHeight="1" thickBot="1">
      <c r="A552" s="74">
        <v>72336</v>
      </c>
      <c r="B552" s="871" t="s">
        <v>367</v>
      </c>
      <c r="C552" s="871"/>
      <c r="D552" s="871"/>
      <c r="E552" s="75" t="s">
        <v>69</v>
      </c>
      <c r="F552" s="137"/>
    </row>
    <row r="553" spans="1:6" ht="13.5" thickBot="1">
      <c r="A553" s="135"/>
      <c r="B553" s="872" t="s">
        <v>363</v>
      </c>
      <c r="C553" s="873"/>
      <c r="D553" s="874"/>
      <c r="E553" s="115"/>
      <c r="F553" s="133"/>
    </row>
    <row r="554" spans="1:6" ht="13.5" thickBot="1">
      <c r="A554" s="74">
        <v>83386</v>
      </c>
      <c r="B554" s="871" t="s">
        <v>340</v>
      </c>
      <c r="C554" s="871"/>
      <c r="D554" s="871"/>
      <c r="E554" s="75" t="s">
        <v>69</v>
      </c>
      <c r="F554" s="137"/>
    </row>
    <row r="555" spans="1:6" ht="13.5" thickBot="1">
      <c r="A555" s="135"/>
      <c r="B555" s="872" t="s">
        <v>363</v>
      </c>
      <c r="C555" s="873"/>
      <c r="D555" s="874"/>
      <c r="E555" s="115"/>
      <c r="F555" s="133"/>
    </row>
    <row r="556" spans="1:6" ht="13.5" customHeight="1" thickBot="1">
      <c r="A556" s="74">
        <v>83387</v>
      </c>
      <c r="B556" s="871" t="s">
        <v>341</v>
      </c>
      <c r="C556" s="871"/>
      <c r="D556" s="871"/>
      <c r="E556" s="75" t="s">
        <v>69</v>
      </c>
      <c r="F556" s="137"/>
    </row>
    <row r="557" spans="1:6" ht="13.5" thickBot="1">
      <c r="A557" s="135"/>
      <c r="B557" s="872" t="s">
        <v>363</v>
      </c>
      <c r="C557" s="873"/>
      <c r="D557" s="874"/>
      <c r="E557" s="115"/>
      <c r="F557" s="133"/>
    </row>
    <row r="558" spans="1:6" ht="13.5" thickBot="1">
      <c r="A558" s="74">
        <v>83448</v>
      </c>
      <c r="B558" s="871" t="s">
        <v>342</v>
      </c>
      <c r="C558" s="871"/>
      <c r="D558" s="871"/>
      <c r="E558" s="75" t="s">
        <v>69</v>
      </c>
      <c r="F558" s="137"/>
    </row>
    <row r="559" spans="1:6" ht="13.5" thickBot="1">
      <c r="A559" s="135"/>
      <c r="B559" s="872" t="s">
        <v>363</v>
      </c>
      <c r="C559" s="873"/>
      <c r="D559" s="874"/>
      <c r="E559" s="115"/>
      <c r="F559" s="133"/>
    </row>
    <row r="560" spans="1:6" ht="13.5" customHeight="1" thickBot="1">
      <c r="A560" s="74">
        <v>83450</v>
      </c>
      <c r="B560" s="871" t="s">
        <v>343</v>
      </c>
      <c r="C560" s="871"/>
      <c r="D560" s="871"/>
      <c r="E560" s="75" t="s">
        <v>69</v>
      </c>
      <c r="F560" s="137"/>
    </row>
    <row r="561" spans="1:6" ht="13.5" thickBot="1">
      <c r="A561" s="135"/>
      <c r="B561" s="872" t="s">
        <v>363</v>
      </c>
      <c r="C561" s="873"/>
      <c r="D561" s="874"/>
      <c r="E561" s="115"/>
      <c r="F561" s="133"/>
    </row>
    <row r="562" spans="1:6" ht="13.5" thickBot="1">
      <c r="A562" s="74">
        <v>72255</v>
      </c>
      <c r="B562" s="871" t="s">
        <v>344</v>
      </c>
      <c r="C562" s="871"/>
      <c r="D562" s="871"/>
      <c r="E562" s="75" t="s">
        <v>17</v>
      </c>
      <c r="F562" s="137"/>
    </row>
    <row r="563" spans="1:6" ht="13.5" thickBot="1">
      <c r="A563" s="135"/>
      <c r="B563" s="872" t="s">
        <v>363</v>
      </c>
      <c r="C563" s="873"/>
      <c r="D563" s="874"/>
      <c r="E563" s="115"/>
      <c r="F563" s="133"/>
    </row>
    <row r="564" spans="1:6" ht="27" customHeight="1" thickBot="1">
      <c r="A564" s="74" t="s">
        <v>345</v>
      </c>
      <c r="B564" s="871" t="s">
        <v>368</v>
      </c>
      <c r="C564" s="871"/>
      <c r="D564" s="871"/>
      <c r="E564" s="75" t="s">
        <v>17</v>
      </c>
      <c r="F564" s="137"/>
    </row>
    <row r="565" spans="1:6" ht="13.5" thickBot="1">
      <c r="A565" s="135"/>
      <c r="B565" s="872" t="s">
        <v>363</v>
      </c>
      <c r="C565" s="873"/>
      <c r="D565" s="874"/>
      <c r="E565" s="115"/>
      <c r="F565" s="133"/>
    </row>
    <row r="566" spans="1:6" ht="13.5" thickBot="1">
      <c r="A566" s="74">
        <v>10240</v>
      </c>
      <c r="B566" s="871" t="s">
        <v>346</v>
      </c>
      <c r="C566" s="871"/>
      <c r="D566" s="871"/>
      <c r="E566" s="75" t="s">
        <v>69</v>
      </c>
      <c r="F566" s="137"/>
    </row>
    <row r="567" spans="1:6" ht="13.5" thickBot="1">
      <c r="A567" s="135"/>
      <c r="B567" s="872" t="s">
        <v>363</v>
      </c>
      <c r="C567" s="873"/>
      <c r="D567" s="874"/>
      <c r="E567" s="115"/>
      <c r="F567" s="133"/>
    </row>
    <row r="568" spans="1:6" ht="27.75" customHeight="1" thickBot="1">
      <c r="A568" s="74">
        <v>83425</v>
      </c>
      <c r="B568" s="871" t="s">
        <v>347</v>
      </c>
      <c r="C568" s="871"/>
      <c r="D568" s="871"/>
      <c r="E568" s="75" t="s">
        <v>17</v>
      </c>
      <c r="F568" s="137"/>
    </row>
    <row r="569" spans="1:6" ht="13.5" thickBot="1">
      <c r="A569" s="135"/>
      <c r="B569" s="872" t="s">
        <v>363</v>
      </c>
      <c r="C569" s="873"/>
      <c r="D569" s="874"/>
      <c r="E569" s="115"/>
      <c r="F569" s="133"/>
    </row>
    <row r="570" spans="1:6" ht="27.75" customHeight="1" thickBot="1">
      <c r="A570" s="74">
        <v>83377</v>
      </c>
      <c r="B570" s="871" t="s">
        <v>348</v>
      </c>
      <c r="C570" s="871"/>
      <c r="D570" s="871"/>
      <c r="E570" s="75" t="s">
        <v>69</v>
      </c>
      <c r="F570" s="137"/>
    </row>
    <row r="571" spans="1:6" ht="13.5" thickBot="1">
      <c r="A571" s="135"/>
      <c r="B571" s="872" t="s">
        <v>363</v>
      </c>
      <c r="C571" s="873"/>
      <c r="D571" s="874"/>
      <c r="E571" s="115"/>
      <c r="F571" s="133"/>
    </row>
    <row r="572" spans="1:6" ht="27.75" customHeight="1" thickBot="1">
      <c r="A572" s="74">
        <v>72261</v>
      </c>
      <c r="B572" s="871" t="s">
        <v>349</v>
      </c>
      <c r="C572" s="871"/>
      <c r="D572" s="871"/>
      <c r="E572" s="75" t="s">
        <v>69</v>
      </c>
      <c r="F572" s="137"/>
    </row>
    <row r="573" spans="1:6" ht="13.5" thickBot="1">
      <c r="A573" s="135"/>
      <c r="B573" s="872" t="s">
        <v>363</v>
      </c>
      <c r="C573" s="873"/>
      <c r="D573" s="874"/>
      <c r="E573" s="115"/>
      <c r="F573" s="133"/>
    </row>
    <row r="574" spans="1:6" ht="27" customHeight="1" thickBot="1">
      <c r="A574" s="74">
        <v>151705</v>
      </c>
      <c r="B574" s="871" t="s">
        <v>350</v>
      </c>
      <c r="C574" s="871"/>
      <c r="D574" s="871"/>
      <c r="E574" s="75" t="s">
        <v>69</v>
      </c>
      <c r="F574" s="137"/>
    </row>
    <row r="575" spans="1:6" ht="13.5" thickBot="1">
      <c r="A575" s="135"/>
      <c r="B575" s="872" t="s">
        <v>363</v>
      </c>
      <c r="C575" s="873"/>
      <c r="D575" s="874"/>
      <c r="E575" s="115"/>
      <c r="F575" s="133"/>
    </row>
    <row r="576" spans="1:6" ht="27" customHeight="1" thickBot="1">
      <c r="A576" s="74">
        <v>180207</v>
      </c>
      <c r="B576" s="871" t="s">
        <v>351</v>
      </c>
      <c r="C576" s="871"/>
      <c r="D576" s="871"/>
      <c r="E576" s="75" t="s">
        <v>69</v>
      </c>
      <c r="F576" s="137"/>
    </row>
    <row r="577" spans="1:6" ht="13.5" thickBot="1">
      <c r="A577" s="135"/>
      <c r="B577" s="872" t="s">
        <v>363</v>
      </c>
      <c r="C577" s="873"/>
      <c r="D577" s="874"/>
      <c r="E577" s="115"/>
      <c r="F577" s="133"/>
    </row>
    <row r="578" spans="1:6" ht="13.5" thickBot="1">
      <c r="A578" s="74">
        <v>72554</v>
      </c>
      <c r="B578" s="871" t="s">
        <v>352</v>
      </c>
      <c r="C578" s="871"/>
      <c r="D578" s="871"/>
      <c r="E578" s="75" t="s">
        <v>69</v>
      </c>
      <c r="F578" s="137"/>
    </row>
    <row r="579" spans="1:6" ht="13.5" thickBot="1">
      <c r="A579" s="135"/>
      <c r="B579" s="872" t="s">
        <v>363</v>
      </c>
      <c r="C579" s="873"/>
      <c r="D579" s="874"/>
      <c r="E579" s="115"/>
      <c r="F579" s="133"/>
    </row>
    <row r="580" spans="1:6" ht="27.75" customHeight="1" thickBot="1">
      <c r="A580" s="74" t="s">
        <v>354</v>
      </c>
      <c r="B580" s="871" t="s">
        <v>353</v>
      </c>
      <c r="C580" s="871"/>
      <c r="D580" s="871"/>
      <c r="E580" s="75" t="s">
        <v>69</v>
      </c>
      <c r="F580" s="137"/>
    </row>
    <row r="581" spans="1:6" ht="13.5" thickBot="1">
      <c r="A581" s="135"/>
      <c r="B581" s="872" t="s">
        <v>363</v>
      </c>
      <c r="C581" s="873"/>
      <c r="D581" s="874"/>
      <c r="E581" s="115"/>
      <c r="F581" s="133"/>
    </row>
    <row r="582" spans="1:6" ht="27" customHeight="1" thickBot="1">
      <c r="A582" s="74">
        <v>72334</v>
      </c>
      <c r="B582" s="871" t="s">
        <v>355</v>
      </c>
      <c r="C582" s="871"/>
      <c r="D582" s="871"/>
      <c r="E582" s="75" t="s">
        <v>69</v>
      </c>
      <c r="F582" s="137"/>
    </row>
    <row r="583" spans="1:6" ht="13.5" thickBot="1">
      <c r="A583" s="135"/>
      <c r="B583" s="872" t="s">
        <v>363</v>
      </c>
      <c r="C583" s="873"/>
      <c r="D583" s="874"/>
      <c r="E583" s="115"/>
      <c r="F583" s="133"/>
    </row>
    <row r="584" spans="1:6" ht="13.5" thickBot="1">
      <c r="A584" s="73">
        <v>14</v>
      </c>
      <c r="B584" s="890" t="s">
        <v>145</v>
      </c>
      <c r="C584" s="891"/>
      <c r="D584" s="891"/>
      <c r="E584" s="891"/>
      <c r="F584" s="892"/>
    </row>
    <row r="585" spans="1:6" ht="41.25" customHeight="1" thickBot="1">
      <c r="A585" s="228">
        <v>170132</v>
      </c>
      <c r="B585" s="893" t="s">
        <v>171</v>
      </c>
      <c r="C585" s="894"/>
      <c r="D585" s="895"/>
      <c r="E585" s="75" t="s">
        <v>69</v>
      </c>
      <c r="F585" s="138">
        <v>1</v>
      </c>
    </row>
    <row r="586" spans="1:6" ht="13.5" thickBot="1">
      <c r="A586" s="135"/>
      <c r="B586" s="872" t="s">
        <v>314</v>
      </c>
      <c r="C586" s="873"/>
      <c r="D586" s="874"/>
      <c r="E586" s="115"/>
      <c r="F586" s="348"/>
    </row>
    <row r="587" spans="1:6" ht="53.25" customHeight="1" thickBot="1">
      <c r="A587" s="228">
        <v>170135</v>
      </c>
      <c r="B587" s="893" t="s">
        <v>76</v>
      </c>
      <c r="C587" s="894"/>
      <c r="D587" s="895"/>
      <c r="E587" s="75" t="s">
        <v>69</v>
      </c>
      <c r="F587" s="138">
        <v>1</v>
      </c>
    </row>
    <row r="588" spans="1:6" s="140" customFormat="1" ht="13.5" thickBot="1">
      <c r="A588" s="318"/>
      <c r="B588" s="872" t="s">
        <v>314</v>
      </c>
      <c r="C588" s="873"/>
      <c r="D588" s="874"/>
      <c r="E588" s="139"/>
      <c r="F588" s="349"/>
    </row>
    <row r="589" spans="1:6" s="140" customFormat="1" ht="27" customHeight="1" thickBot="1">
      <c r="A589" s="228">
        <v>170304</v>
      </c>
      <c r="B589" s="893" t="s">
        <v>77</v>
      </c>
      <c r="C589" s="894"/>
      <c r="D589" s="895"/>
      <c r="E589" s="75" t="s">
        <v>69</v>
      </c>
      <c r="F589" s="138">
        <v>1</v>
      </c>
    </row>
    <row r="590" spans="1:6" s="140" customFormat="1" ht="13.5" thickBot="1">
      <c r="A590" s="318"/>
      <c r="B590" s="872" t="s">
        <v>314</v>
      </c>
      <c r="C590" s="873"/>
      <c r="D590" s="874"/>
      <c r="E590" s="139"/>
      <c r="F590" s="349"/>
    </row>
    <row r="591" spans="1:6" s="140" customFormat="1" ht="27" customHeight="1" thickBot="1">
      <c r="A591" s="228">
        <v>170346</v>
      </c>
      <c r="B591" s="893" t="s">
        <v>78</v>
      </c>
      <c r="C591" s="894"/>
      <c r="D591" s="895"/>
      <c r="E591" s="75" t="s">
        <v>69</v>
      </c>
      <c r="F591" s="138">
        <v>5</v>
      </c>
    </row>
    <row r="592" spans="1:6" s="140" customFormat="1" ht="13.5" thickBot="1">
      <c r="A592" s="318"/>
      <c r="B592" s="872" t="s">
        <v>314</v>
      </c>
      <c r="C592" s="873"/>
      <c r="D592" s="874"/>
      <c r="E592" s="139"/>
      <c r="F592" s="349"/>
    </row>
    <row r="593" spans="1:6" s="140" customFormat="1" ht="26.25" thickBot="1">
      <c r="A593" s="228" t="s">
        <v>735</v>
      </c>
      <c r="B593" s="893" t="s">
        <v>310</v>
      </c>
      <c r="C593" s="894"/>
      <c r="D593" s="895"/>
      <c r="E593" s="75" t="s">
        <v>69</v>
      </c>
      <c r="F593" s="138">
        <v>1</v>
      </c>
    </row>
    <row r="594" spans="1:6" s="140" customFormat="1" ht="13.5" thickBot="1">
      <c r="A594" s="386"/>
      <c r="B594" s="926" t="s">
        <v>314</v>
      </c>
      <c r="C594" s="927"/>
      <c r="D594" s="928"/>
      <c r="E594" s="387"/>
      <c r="F594" s="388"/>
    </row>
    <row r="595" spans="1:6" s="140" customFormat="1" ht="54.75" customHeight="1" thickBot="1">
      <c r="A595" s="228">
        <v>170504</v>
      </c>
      <c r="B595" s="893" t="s">
        <v>412</v>
      </c>
      <c r="C595" s="894"/>
      <c r="D595" s="895"/>
      <c r="E595" s="75" t="s">
        <v>69</v>
      </c>
      <c r="F595" s="138">
        <v>3</v>
      </c>
    </row>
    <row r="596" spans="1:6" s="140" customFormat="1" ht="13.5" thickBot="1">
      <c r="A596" s="389"/>
      <c r="B596" s="926" t="s">
        <v>314</v>
      </c>
      <c r="C596" s="927"/>
      <c r="D596" s="928"/>
      <c r="E596" s="390"/>
      <c r="F596" s="390"/>
    </row>
    <row r="597" spans="1:6" s="140" customFormat="1" ht="27" customHeight="1" thickBot="1">
      <c r="A597" s="228">
        <v>170111</v>
      </c>
      <c r="B597" s="893" t="s">
        <v>413</v>
      </c>
      <c r="C597" s="894"/>
      <c r="D597" s="895"/>
      <c r="E597" s="75" t="s">
        <v>69</v>
      </c>
      <c r="F597" s="138">
        <v>5</v>
      </c>
    </row>
    <row r="598" spans="1:6" s="140" customFormat="1" ht="13.5" thickBot="1">
      <c r="A598" s="391"/>
      <c r="B598" s="923" t="s">
        <v>314</v>
      </c>
      <c r="C598" s="924"/>
      <c r="D598" s="925"/>
      <c r="E598" s="392"/>
      <c r="F598" s="387"/>
    </row>
    <row r="599" spans="1:6" s="140" customFormat="1" ht="66.75" customHeight="1" thickBot="1">
      <c r="A599" s="228">
        <v>72739</v>
      </c>
      <c r="B599" s="893" t="s">
        <v>431</v>
      </c>
      <c r="C599" s="894"/>
      <c r="D599" s="895"/>
      <c r="E599" s="75" t="s">
        <v>69</v>
      </c>
      <c r="F599" s="138">
        <v>4</v>
      </c>
    </row>
    <row r="600" spans="1:6" s="140" customFormat="1" ht="13.5" thickBot="1">
      <c r="A600" s="427"/>
      <c r="B600" s="923" t="s">
        <v>314</v>
      </c>
      <c r="C600" s="924"/>
      <c r="D600" s="925"/>
      <c r="E600" s="131"/>
      <c r="F600" s="428"/>
    </row>
    <row r="601" spans="1:6" s="140" customFormat="1" ht="26.25" customHeight="1" thickBot="1">
      <c r="A601" s="228">
        <v>9535</v>
      </c>
      <c r="B601" s="893" t="s">
        <v>477</v>
      </c>
      <c r="C601" s="894"/>
      <c r="D601" s="895"/>
      <c r="E601" s="75" t="s">
        <v>69</v>
      </c>
      <c r="F601" s="138">
        <v>4</v>
      </c>
    </row>
    <row r="602" spans="1:6" s="140" customFormat="1" ht="13.5" thickBot="1">
      <c r="A602" s="427"/>
      <c r="B602" s="923" t="s">
        <v>314</v>
      </c>
      <c r="C602" s="924"/>
      <c r="D602" s="925"/>
      <c r="E602" s="131"/>
      <c r="F602" s="428"/>
    </row>
    <row r="603" spans="1:6" s="140" customFormat="1" ht="79.5" customHeight="1" thickBot="1">
      <c r="A603" s="228">
        <v>86943</v>
      </c>
      <c r="B603" s="893" t="s">
        <v>478</v>
      </c>
      <c r="C603" s="894"/>
      <c r="D603" s="895"/>
      <c r="E603" s="75" t="s">
        <v>69</v>
      </c>
      <c r="F603" s="138">
        <v>2</v>
      </c>
    </row>
    <row r="604" spans="1:6" s="140" customFormat="1" ht="13.5" thickBot="1">
      <c r="A604" s="427"/>
      <c r="B604" s="923" t="s">
        <v>314</v>
      </c>
      <c r="C604" s="924"/>
      <c r="D604" s="925"/>
      <c r="E604" s="131"/>
      <c r="F604" s="428"/>
    </row>
    <row r="605" spans="1:6" s="140" customFormat="1" ht="42.75" customHeight="1" thickBot="1">
      <c r="A605" s="228">
        <v>86911</v>
      </c>
      <c r="B605" s="893" t="s">
        <v>708</v>
      </c>
      <c r="C605" s="894"/>
      <c r="D605" s="895"/>
      <c r="E605" s="75" t="s">
        <v>69</v>
      </c>
      <c r="F605" s="138">
        <v>4</v>
      </c>
    </row>
    <row r="606" spans="1:6" s="140" customFormat="1" ht="13.5" thickBot="1">
      <c r="A606" s="427"/>
      <c r="B606" s="923" t="s">
        <v>314</v>
      </c>
      <c r="C606" s="924"/>
      <c r="D606" s="925"/>
      <c r="E606" s="131"/>
      <c r="F606" s="428"/>
    </row>
    <row r="607" spans="1:6" ht="13.5" thickBot="1">
      <c r="A607" s="73">
        <v>15</v>
      </c>
      <c r="B607" s="890" t="s">
        <v>11</v>
      </c>
      <c r="C607" s="891"/>
      <c r="D607" s="891"/>
      <c r="E607" s="891"/>
      <c r="F607" s="892"/>
    </row>
    <row r="608" spans="1:6" ht="28.5" customHeight="1" thickBot="1">
      <c r="A608" s="74" t="s">
        <v>385</v>
      </c>
      <c r="B608" s="871" t="s">
        <v>384</v>
      </c>
      <c r="C608" s="871"/>
      <c r="D608" s="871"/>
      <c r="E608" s="75" t="s">
        <v>123</v>
      </c>
      <c r="F608" s="76">
        <f>ROUNDDOWN(F610+F611+F612+F613+F614+F615,2)</f>
        <v>669.04</v>
      </c>
    </row>
    <row r="609" spans="1:6">
      <c r="A609" s="77"/>
      <c r="B609" s="1065" t="s">
        <v>119</v>
      </c>
      <c r="C609" s="1066"/>
      <c r="D609" s="118" t="s">
        <v>141</v>
      </c>
      <c r="E609" s="118" t="s">
        <v>386</v>
      </c>
      <c r="F609" s="353" t="s">
        <v>13</v>
      </c>
    </row>
    <row r="610" spans="1:6" ht="25.5" customHeight="1">
      <c r="A610" s="940" t="s">
        <v>488</v>
      </c>
      <c r="B610" s="1053" t="s">
        <v>483</v>
      </c>
      <c r="C610" s="1053"/>
      <c r="D610" s="80">
        <v>123.75</v>
      </c>
      <c r="E610" s="354">
        <v>3.3</v>
      </c>
      <c r="F610" s="354">
        <f>ROUNDDOWN(E610*D610,2)</f>
        <v>408.37</v>
      </c>
    </row>
    <row r="611" spans="1:6" ht="27" customHeight="1">
      <c r="A611" s="940"/>
      <c r="B611" s="1053" t="s">
        <v>484</v>
      </c>
      <c r="C611" s="1053"/>
      <c r="D611" s="80">
        <v>19.89</v>
      </c>
      <c r="E611" s="354">
        <v>3.3</v>
      </c>
      <c r="F611" s="354">
        <f>ROUNDDOWN(E611*D611,2)</f>
        <v>65.63</v>
      </c>
    </row>
    <row r="612" spans="1:6">
      <c r="A612" s="940"/>
      <c r="B612" s="936" t="s">
        <v>396</v>
      </c>
      <c r="C612" s="936"/>
      <c r="D612" s="448">
        <v>17.68</v>
      </c>
      <c r="E612" s="354">
        <v>3.3</v>
      </c>
      <c r="F612" s="354">
        <f>ROUNDDOWN(E612*D612,2)</f>
        <v>58.34</v>
      </c>
    </row>
    <row r="613" spans="1:6" ht="25.5" customHeight="1">
      <c r="A613" s="940"/>
      <c r="B613" s="935" t="s">
        <v>485</v>
      </c>
      <c r="C613" s="935"/>
      <c r="D613" s="80">
        <v>28.47</v>
      </c>
      <c r="E613" s="354">
        <v>3.3</v>
      </c>
      <c r="F613" s="354">
        <f>ROUNDDOWN(E613*D613,2)</f>
        <v>93.95</v>
      </c>
    </row>
    <row r="614" spans="1:6" ht="25.5" customHeight="1">
      <c r="A614" s="940"/>
      <c r="B614" s="1053" t="s">
        <v>486</v>
      </c>
      <c r="C614" s="1053"/>
      <c r="D614" s="80">
        <f>4.58+6.34</f>
        <v>10.92</v>
      </c>
      <c r="E614" s="354">
        <v>3.3</v>
      </c>
      <c r="F614" s="354">
        <f>ROUNDDOWN(E614*D614,2)</f>
        <v>36.03</v>
      </c>
    </row>
    <row r="615" spans="1:6" ht="29.25" customHeight="1" thickBot="1">
      <c r="A615" s="447"/>
      <c r="B615" s="1064" t="s">
        <v>487</v>
      </c>
      <c r="C615" s="1064"/>
      <c r="D615" s="88">
        <f>((2.6*0.1)*4*3)+((3*0.1)*4*3)</f>
        <v>6.7200000000000006</v>
      </c>
      <c r="E615" s="487"/>
      <c r="F615" s="487">
        <f>D615</f>
        <v>6.7200000000000006</v>
      </c>
    </row>
    <row r="616" spans="1:6" ht="28.5" customHeight="1" thickBot="1">
      <c r="A616" s="74">
        <v>84659</v>
      </c>
      <c r="B616" s="871" t="s">
        <v>381</v>
      </c>
      <c r="C616" s="871"/>
      <c r="D616" s="871"/>
      <c r="E616" s="75" t="s">
        <v>123</v>
      </c>
      <c r="F616" s="76">
        <f>ROUNDDOWN(F618+F619+F620+F621+F622+F623+F624+F625+F626+F627+F628+F629+F630+F631,2)</f>
        <v>47.46</v>
      </c>
    </row>
    <row r="617" spans="1:6" ht="51">
      <c r="A617" s="134"/>
      <c r="B617" s="360" t="s">
        <v>389</v>
      </c>
      <c r="C617" s="118" t="s">
        <v>120</v>
      </c>
      <c r="D617" s="118" t="s">
        <v>126</v>
      </c>
      <c r="E617" s="360" t="s">
        <v>388</v>
      </c>
      <c r="F617" s="141" t="s">
        <v>13</v>
      </c>
    </row>
    <row r="618" spans="1:6">
      <c r="A618" s="932" t="s">
        <v>387</v>
      </c>
      <c r="B618" s="115" t="s">
        <v>469</v>
      </c>
      <c r="C618" s="142">
        <v>0.8</v>
      </c>
      <c r="D618" s="143">
        <v>2.1</v>
      </c>
      <c r="E618" s="142">
        <v>1</v>
      </c>
      <c r="F618" s="352">
        <f>ROUNDDOWN((C618*D618*E618)*2,2)</f>
        <v>3.36</v>
      </c>
    </row>
    <row r="619" spans="1:6">
      <c r="A619" s="933"/>
      <c r="B619" s="115" t="s">
        <v>470</v>
      </c>
      <c r="C619" s="355">
        <v>0.8</v>
      </c>
      <c r="D619" s="356">
        <v>2.1</v>
      </c>
      <c r="E619" s="142">
        <v>1</v>
      </c>
      <c r="F619" s="352">
        <f t="shared" ref="F619:F631" si="16">ROUNDDOWN((C619*D619*E619)*2,2)</f>
        <v>3.36</v>
      </c>
    </row>
    <row r="620" spans="1:6">
      <c r="A620" s="933"/>
      <c r="B620" s="110" t="s">
        <v>152</v>
      </c>
      <c r="C620" s="142">
        <v>0.8</v>
      </c>
      <c r="D620" s="356">
        <v>2.1</v>
      </c>
      <c r="E620" s="142">
        <v>1</v>
      </c>
      <c r="F620" s="352">
        <f t="shared" si="16"/>
        <v>3.36</v>
      </c>
    </row>
    <row r="621" spans="1:6">
      <c r="A621" s="933"/>
      <c r="B621" s="110" t="s">
        <v>197</v>
      </c>
      <c r="C621" s="142">
        <v>0.8</v>
      </c>
      <c r="D621" s="356">
        <v>2.1</v>
      </c>
      <c r="E621" s="142">
        <v>1</v>
      </c>
      <c r="F621" s="352">
        <f t="shared" si="16"/>
        <v>3.36</v>
      </c>
    </row>
    <row r="622" spans="1:6">
      <c r="A622" s="933"/>
      <c r="B622" s="110" t="s">
        <v>198</v>
      </c>
      <c r="C622" s="142">
        <v>0.8</v>
      </c>
      <c r="D622" s="356">
        <v>2.1</v>
      </c>
      <c r="E622" s="142">
        <v>1</v>
      </c>
      <c r="F622" s="352">
        <f t="shared" si="16"/>
        <v>3.36</v>
      </c>
    </row>
    <row r="623" spans="1:6">
      <c r="A623" s="933"/>
      <c r="B623" s="110" t="s">
        <v>490</v>
      </c>
      <c r="C623" s="142">
        <v>0.8</v>
      </c>
      <c r="D623" s="356">
        <v>2.1</v>
      </c>
      <c r="E623" s="142">
        <v>1</v>
      </c>
      <c r="F623" s="352">
        <f t="shared" si="16"/>
        <v>3.36</v>
      </c>
    </row>
    <row r="624" spans="1:6">
      <c r="A624" s="933"/>
      <c r="B624" s="110" t="s">
        <v>471</v>
      </c>
      <c r="C624" s="142">
        <v>0.8</v>
      </c>
      <c r="D624" s="356">
        <v>2.1</v>
      </c>
      <c r="E624" s="142">
        <v>1</v>
      </c>
      <c r="F624" s="352">
        <f t="shared" si="16"/>
        <v>3.36</v>
      </c>
    </row>
    <row r="625" spans="1:6">
      <c r="A625" s="933"/>
      <c r="B625" s="110" t="s">
        <v>396</v>
      </c>
      <c r="C625" s="142">
        <v>0.8</v>
      </c>
      <c r="D625" s="356">
        <v>2.1</v>
      </c>
      <c r="E625" s="142">
        <v>1</v>
      </c>
      <c r="F625" s="352">
        <f t="shared" si="16"/>
        <v>3.36</v>
      </c>
    </row>
    <row r="626" spans="1:6">
      <c r="A626" s="933"/>
      <c r="B626" s="110" t="s">
        <v>489</v>
      </c>
      <c r="C626" s="142">
        <v>0.8</v>
      </c>
      <c r="D626" s="356">
        <v>2.1</v>
      </c>
      <c r="E626" s="142">
        <v>1</v>
      </c>
      <c r="F626" s="352">
        <f t="shared" si="16"/>
        <v>3.36</v>
      </c>
    </row>
    <row r="627" spans="1:6">
      <c r="A627" s="933"/>
      <c r="B627" s="110" t="s">
        <v>491</v>
      </c>
      <c r="C627" s="142">
        <v>0.8</v>
      </c>
      <c r="D627" s="356">
        <v>2.1</v>
      </c>
      <c r="E627" s="142">
        <v>1</v>
      </c>
      <c r="F627" s="352">
        <f t="shared" si="16"/>
        <v>3.36</v>
      </c>
    </row>
    <row r="628" spans="1:6">
      <c r="A628" s="933"/>
      <c r="B628" s="110" t="s">
        <v>492</v>
      </c>
      <c r="C628" s="142">
        <v>0.8</v>
      </c>
      <c r="D628" s="356">
        <v>2.1</v>
      </c>
      <c r="E628" s="142">
        <v>1</v>
      </c>
      <c r="F628" s="352">
        <f t="shared" si="16"/>
        <v>3.36</v>
      </c>
    </row>
    <row r="629" spans="1:6">
      <c r="A629" s="933"/>
      <c r="B629" s="110" t="s">
        <v>493</v>
      </c>
      <c r="C629" s="142">
        <v>0.8</v>
      </c>
      <c r="D629" s="356">
        <v>2.1</v>
      </c>
      <c r="E629" s="142">
        <v>1</v>
      </c>
      <c r="F629" s="352">
        <f t="shared" si="16"/>
        <v>3.36</v>
      </c>
    </row>
    <row r="630" spans="1:6">
      <c r="A630" s="933"/>
      <c r="B630" s="110" t="s">
        <v>494</v>
      </c>
      <c r="C630" s="142">
        <v>0.8</v>
      </c>
      <c r="D630" s="356">
        <v>2.1</v>
      </c>
      <c r="E630" s="142">
        <v>1</v>
      </c>
      <c r="F630" s="352">
        <f t="shared" si="16"/>
        <v>3.36</v>
      </c>
    </row>
    <row r="631" spans="1:6" ht="13.5" thickBot="1">
      <c r="A631" s="934"/>
      <c r="B631" s="357" t="s">
        <v>465</v>
      </c>
      <c r="C631" s="358">
        <v>0.9</v>
      </c>
      <c r="D631" s="359">
        <v>2.1</v>
      </c>
      <c r="E631" s="142">
        <v>1</v>
      </c>
      <c r="F631" s="352">
        <f t="shared" si="16"/>
        <v>3.78</v>
      </c>
    </row>
    <row r="632" spans="1:6" ht="27" customHeight="1" thickBot="1">
      <c r="A632" s="74" t="s">
        <v>241</v>
      </c>
      <c r="B632" s="871" t="s">
        <v>242</v>
      </c>
      <c r="C632" s="871"/>
      <c r="D632" s="871"/>
      <c r="E632" s="75" t="s">
        <v>123</v>
      </c>
      <c r="F632" s="76">
        <f>ROUNDDOWN(E634+E635+E636+E637+E638+E639+E640+E641+E642+E643+E644+E645+E646,2)</f>
        <v>368.6</v>
      </c>
    </row>
    <row r="633" spans="1:6">
      <c r="A633" s="309"/>
      <c r="B633" s="77" t="s">
        <v>119</v>
      </c>
      <c r="C633" s="77" t="s">
        <v>120</v>
      </c>
      <c r="D633" s="108" t="s">
        <v>121</v>
      </c>
      <c r="E633" s="77" t="s">
        <v>13</v>
      </c>
      <c r="F633" s="306"/>
    </row>
    <row r="634" spans="1:6" ht="25.5">
      <c r="A634" s="351"/>
      <c r="B634" s="446" t="s">
        <v>499</v>
      </c>
      <c r="C634" s="1001" t="s">
        <v>140</v>
      </c>
      <c r="D634" s="1001"/>
      <c r="E634" s="342">
        <v>123.75</v>
      </c>
      <c r="F634" s="150"/>
    </row>
    <row r="635" spans="1:6">
      <c r="A635" s="440"/>
      <c r="B635" s="447" t="s">
        <v>469</v>
      </c>
      <c r="C635" s="113">
        <v>5.85</v>
      </c>
      <c r="D635" s="113">
        <v>4.87</v>
      </c>
      <c r="E635" s="113">
        <f>ROUNDDOWN(D635*C635,2)</f>
        <v>28.48</v>
      </c>
      <c r="F635" s="151"/>
    </row>
    <row r="636" spans="1:6">
      <c r="A636" s="440"/>
      <c r="B636" s="447" t="s">
        <v>470</v>
      </c>
      <c r="C636" s="113">
        <v>5.85</v>
      </c>
      <c r="D636" s="113">
        <v>4.82</v>
      </c>
      <c r="E636" s="113">
        <f t="shared" ref="E636:E639" si="17">ROUNDDOWN(D636*C636,2)</f>
        <v>28.19</v>
      </c>
      <c r="F636" s="151"/>
    </row>
    <row r="637" spans="1:6">
      <c r="A637" s="440"/>
      <c r="B637" s="447" t="s">
        <v>152</v>
      </c>
      <c r="C637" s="113">
        <v>5.77</v>
      </c>
      <c r="D637" s="113">
        <v>4.87</v>
      </c>
      <c r="E637" s="113">
        <f t="shared" si="17"/>
        <v>28.09</v>
      </c>
      <c r="F637" s="151"/>
    </row>
    <row r="638" spans="1:6">
      <c r="A638" s="440"/>
      <c r="B638" s="447" t="s">
        <v>197</v>
      </c>
      <c r="C638" s="113">
        <v>5.77</v>
      </c>
      <c r="D638" s="113">
        <v>4.82</v>
      </c>
      <c r="E638" s="113">
        <f t="shared" si="17"/>
        <v>27.81</v>
      </c>
      <c r="F638" s="151"/>
    </row>
    <row r="639" spans="1:6" ht="25.5">
      <c r="A639" s="351"/>
      <c r="B639" s="446" t="s">
        <v>500</v>
      </c>
      <c r="C639" s="439">
        <v>2.7</v>
      </c>
      <c r="D639" s="439">
        <v>7</v>
      </c>
      <c r="E639" s="113">
        <f t="shared" si="17"/>
        <v>18.899999999999999</v>
      </c>
      <c r="F639" s="150"/>
    </row>
    <row r="640" spans="1:6">
      <c r="A640" s="351"/>
      <c r="B640" s="105" t="s">
        <v>498</v>
      </c>
      <c r="C640" s="1001" t="s">
        <v>140</v>
      </c>
      <c r="D640" s="1001"/>
      <c r="E640" s="439">
        <v>49.94</v>
      </c>
      <c r="F640" s="150"/>
    </row>
    <row r="641" spans="1:6">
      <c r="A641" s="351"/>
      <c r="B641" s="679" t="s">
        <v>501</v>
      </c>
      <c r="C641" s="1001" t="s">
        <v>140</v>
      </c>
      <c r="D641" s="1001"/>
      <c r="E641" s="80">
        <v>24.62</v>
      </c>
      <c r="F641" s="150"/>
    </row>
    <row r="642" spans="1:6" ht="25.5">
      <c r="A642" s="440"/>
      <c r="B642" s="206" t="s">
        <v>432</v>
      </c>
      <c r="C642" s="152">
        <v>4.21</v>
      </c>
      <c r="D642" s="152">
        <v>2.97</v>
      </c>
      <c r="E642" s="113">
        <f t="shared" ref="E642" si="18">ROUNDDOWN(D642*C642,2)</f>
        <v>12.5</v>
      </c>
      <c r="F642" s="151"/>
    </row>
    <row r="643" spans="1:6">
      <c r="A643" s="474"/>
      <c r="B643" s="300" t="s">
        <v>572</v>
      </c>
      <c r="C643" s="945" t="s">
        <v>140</v>
      </c>
      <c r="D643" s="946"/>
      <c r="E643" s="152">
        <v>1.19</v>
      </c>
      <c r="F643" s="151"/>
    </row>
    <row r="644" spans="1:6">
      <c r="A644" s="351"/>
      <c r="B644" s="530" t="s">
        <v>583</v>
      </c>
      <c r="C644" s="535">
        <v>9.6</v>
      </c>
      <c r="D644" s="535">
        <v>1.2</v>
      </c>
      <c r="E644" s="113">
        <f t="shared" ref="E644" si="19">ROUNDDOWN(D644*C644,2)</f>
        <v>11.52</v>
      </c>
      <c r="F644" s="150"/>
    </row>
    <row r="645" spans="1:6">
      <c r="A645" s="351"/>
      <c r="B645" s="530" t="s">
        <v>612</v>
      </c>
      <c r="C645" s="1000" t="s">
        <v>140</v>
      </c>
      <c r="D645" s="1000"/>
      <c r="E645" s="529">
        <v>7.47</v>
      </c>
      <c r="F645" s="150"/>
    </row>
    <row r="646" spans="1:6" ht="26.25" thickBot="1">
      <c r="A646" s="533"/>
      <c r="B646" s="680" t="s">
        <v>613</v>
      </c>
      <c r="C646" s="535">
        <v>2.0699999999999998</v>
      </c>
      <c r="D646" s="535">
        <v>2.97</v>
      </c>
      <c r="E646" s="113">
        <f t="shared" ref="E646" si="20">ROUNDDOWN(D646*C646,2)</f>
        <v>6.14</v>
      </c>
      <c r="F646" s="151"/>
    </row>
    <row r="647" spans="1:6" ht="27" customHeight="1" thickBot="1">
      <c r="A647" s="74">
        <v>88483</v>
      </c>
      <c r="B647" s="871" t="s">
        <v>243</v>
      </c>
      <c r="C647" s="871"/>
      <c r="D647" s="871"/>
      <c r="E647" s="75" t="s">
        <v>123</v>
      </c>
      <c r="F647" s="76">
        <f>ROUNDDOWN(F649+F650+F651+F652+F653+F654+F655+F656+F657+F658+F659+F660,2)</f>
        <v>135.74</v>
      </c>
    </row>
    <row r="648" spans="1:6">
      <c r="A648" s="82"/>
      <c r="B648" s="118" t="s">
        <v>119</v>
      </c>
      <c r="C648" s="119" t="s">
        <v>120</v>
      </c>
      <c r="D648" s="119" t="s">
        <v>126</v>
      </c>
      <c r="E648" s="119" t="s">
        <v>138</v>
      </c>
      <c r="F648" s="97" t="s">
        <v>13</v>
      </c>
    </row>
    <row r="649" spans="1:6">
      <c r="A649" s="917" t="s">
        <v>441</v>
      </c>
      <c r="B649" s="110" t="s">
        <v>449</v>
      </c>
      <c r="C649" s="80">
        <v>7</v>
      </c>
      <c r="D649" s="80">
        <v>2.98</v>
      </c>
      <c r="E649" s="117">
        <f>ROUNDDOWN(1.1*2*2-2,2)</f>
        <v>2.4</v>
      </c>
      <c r="F649" s="116">
        <f>ROUNDDOWN(((C649*D649)-E649),2)</f>
        <v>18.46</v>
      </c>
    </row>
    <row r="650" spans="1:6" ht="25.5">
      <c r="A650" s="918"/>
      <c r="B650" s="680" t="s">
        <v>450</v>
      </c>
      <c r="C650" s="870">
        <v>19.61</v>
      </c>
      <c r="D650" s="870"/>
      <c r="E650" s="117">
        <f>ROUNDDOWN(1.1*1.6*2-2,2)</f>
        <v>1.52</v>
      </c>
      <c r="F650" s="116">
        <f>(C650-E650)</f>
        <v>18.09</v>
      </c>
    </row>
    <row r="651" spans="1:6" ht="25.5">
      <c r="A651" s="918"/>
      <c r="B651" s="680" t="s">
        <v>196</v>
      </c>
      <c r="C651" s="870">
        <v>19.61</v>
      </c>
      <c r="D651" s="870"/>
      <c r="E651" s="117"/>
      <c r="F651" s="448">
        <f>(C651-E651)</f>
        <v>19.61</v>
      </c>
    </row>
    <row r="652" spans="1:6">
      <c r="A652" s="919"/>
      <c r="B652" s="110" t="s">
        <v>533</v>
      </c>
      <c r="C652" s="120">
        <v>7</v>
      </c>
      <c r="D652" s="120">
        <v>2.98</v>
      </c>
      <c r="E652" s="117"/>
      <c r="F652" s="448">
        <f>ROUNDDOWN(D652*C652,2)</f>
        <v>20.86</v>
      </c>
    </row>
    <row r="653" spans="1:6">
      <c r="A653" s="959" t="s">
        <v>445</v>
      </c>
      <c r="B653" s="363" t="s">
        <v>451</v>
      </c>
      <c r="C653" s="448">
        <v>1.6</v>
      </c>
      <c r="D653" s="448">
        <f>2.98-1.6</f>
        <v>1.38</v>
      </c>
      <c r="E653" s="117">
        <f>ROUNDDOWN((0.8*2.1)+(0.6*0.7)-2,2)</f>
        <v>0.1</v>
      </c>
      <c r="F653" s="116">
        <f>ROUNDDOWN(((C653*D653)-E653),2)</f>
        <v>2.1</v>
      </c>
    </row>
    <row r="654" spans="1:6">
      <c r="A654" s="921"/>
      <c r="B654" s="110" t="s">
        <v>533</v>
      </c>
      <c r="C654" s="448">
        <v>1.6</v>
      </c>
      <c r="D654" s="448">
        <f>2.98-1.6</f>
        <v>1.38</v>
      </c>
      <c r="E654" s="117"/>
      <c r="F654" s="683">
        <f>ROUNDDOWN(D654*C654,2)</f>
        <v>2.2000000000000002</v>
      </c>
    </row>
    <row r="655" spans="1:6">
      <c r="A655" s="921"/>
      <c r="B655" s="110" t="s">
        <v>139</v>
      </c>
      <c r="C655" s="448">
        <v>2</v>
      </c>
      <c r="D655" s="448">
        <f>2.98-1.6</f>
        <v>1.38</v>
      </c>
      <c r="E655" s="117"/>
      <c r="F655" s="683">
        <f>ROUNDDOWN(D655*C655,2)</f>
        <v>2.76</v>
      </c>
    </row>
    <row r="656" spans="1:6">
      <c r="A656" s="960"/>
      <c r="B656" s="110" t="s">
        <v>519</v>
      </c>
      <c r="C656" s="448">
        <v>2</v>
      </c>
      <c r="D656" s="448">
        <f>2.98-1.6</f>
        <v>1.38</v>
      </c>
      <c r="E656" s="117"/>
      <c r="F656" s="683">
        <f>ROUNDDOWN(D656*C656,2)</f>
        <v>2.76</v>
      </c>
    </row>
    <row r="657" spans="1:6">
      <c r="A657" s="1028" t="s">
        <v>534</v>
      </c>
      <c r="B657" s="453" t="s">
        <v>449</v>
      </c>
      <c r="C657" s="403">
        <v>4.3899999999999997</v>
      </c>
      <c r="D657" s="403">
        <v>2.96</v>
      </c>
      <c r="E657" s="117">
        <f>ROUNDDOWN((1.1*2)-2,2)</f>
        <v>0.2</v>
      </c>
      <c r="F657" s="116">
        <f>ROUNDDOWN(((C657*D657)-E657),2)</f>
        <v>12.79</v>
      </c>
    </row>
    <row r="658" spans="1:6">
      <c r="A658" s="1029"/>
      <c r="B658" s="453" t="s">
        <v>535</v>
      </c>
      <c r="C658" s="403">
        <v>3.94</v>
      </c>
      <c r="D658" s="403">
        <v>2.96</v>
      </c>
      <c r="E658" s="117"/>
      <c r="F658" s="683">
        <f>ROUNDDOWN(D658*C658,2)</f>
        <v>11.66</v>
      </c>
    </row>
    <row r="659" spans="1:6">
      <c r="A659" s="1028" t="s">
        <v>515</v>
      </c>
      <c r="B659" s="453" t="s">
        <v>449</v>
      </c>
      <c r="C659" s="403">
        <v>4.3899999999999997</v>
      </c>
      <c r="D659" s="403">
        <v>2.96</v>
      </c>
      <c r="E659" s="117">
        <f>ROUNDDOWN((1.1*2)-2,2)</f>
        <v>0.2</v>
      </c>
      <c r="F659" s="116">
        <f>ROUNDDOWN(((C659*D659)-E659),2)</f>
        <v>12.79</v>
      </c>
    </row>
    <row r="660" spans="1:6" ht="13.5" thickBot="1">
      <c r="A660" s="1067"/>
      <c r="B660" s="447" t="s">
        <v>535</v>
      </c>
      <c r="C660" s="160">
        <v>3.94</v>
      </c>
      <c r="D660" s="490">
        <v>2.96</v>
      </c>
      <c r="E660" s="123"/>
      <c r="F660" s="683">
        <f>ROUNDDOWN(D660*C660,2)</f>
        <v>11.66</v>
      </c>
    </row>
    <row r="661" spans="1:6" ht="27" customHeight="1" thickBot="1">
      <c r="A661" s="74">
        <v>88485</v>
      </c>
      <c r="B661" s="893" t="s">
        <v>244</v>
      </c>
      <c r="C661" s="894"/>
      <c r="D661" s="895"/>
      <c r="E661" s="75" t="s">
        <v>123</v>
      </c>
      <c r="F661" s="76">
        <f>ROUNDDOWN(F663+F664+F665+F666+F667+F668+F669+F670+F671+F672+F673+F674+F675+F676+F677+F678+F679+F680+F681+F682+F684+F683+F685+F686+F687+F688+F689+F690+F691+F692+F693+F694+F695+F696+F697+F698+F699+F700+F701+F702+F703+F704,2)</f>
        <v>979.23</v>
      </c>
    </row>
    <row r="662" spans="1:6">
      <c r="A662" s="82"/>
      <c r="B662" s="118" t="s">
        <v>119</v>
      </c>
      <c r="C662" s="118" t="s">
        <v>120</v>
      </c>
      <c r="D662" s="118" t="s">
        <v>126</v>
      </c>
      <c r="E662" s="119" t="s">
        <v>138</v>
      </c>
      <c r="F662" s="97" t="s">
        <v>13</v>
      </c>
    </row>
    <row r="663" spans="1:6">
      <c r="A663" s="917" t="s">
        <v>441</v>
      </c>
      <c r="B663" s="110" t="s">
        <v>449</v>
      </c>
      <c r="C663" s="80">
        <v>7.26</v>
      </c>
      <c r="D663" s="80">
        <v>3.08</v>
      </c>
      <c r="E663" s="117">
        <f>ROUNDDOWN(1.1*2*2-2,2)</f>
        <v>2.4</v>
      </c>
      <c r="F663" s="116">
        <f>ROUNDDOWN(((C663*D663)-E663),2)</f>
        <v>19.96</v>
      </c>
    </row>
    <row r="664" spans="1:6" ht="25.5">
      <c r="A664" s="918"/>
      <c r="B664" s="680" t="s">
        <v>538</v>
      </c>
      <c r="C664" s="870">
        <v>20.6</v>
      </c>
      <c r="D664" s="870"/>
      <c r="E664" s="117">
        <f>ROUNDDOWN(1.1*1.6*2-2,2)</f>
        <v>1.52</v>
      </c>
      <c r="F664" s="116">
        <f>(C664-E664)</f>
        <v>19.080000000000002</v>
      </c>
    </row>
    <row r="665" spans="1:6" ht="25.5">
      <c r="A665" s="918"/>
      <c r="B665" s="363" t="s">
        <v>540</v>
      </c>
      <c r="C665" s="870" t="s">
        <v>539</v>
      </c>
      <c r="D665" s="870"/>
      <c r="E665" s="117"/>
      <c r="F665" s="448">
        <v>12.57</v>
      </c>
    </row>
    <row r="666" spans="1:6">
      <c r="A666" s="449" t="s">
        <v>445</v>
      </c>
      <c r="B666" s="363" t="s">
        <v>451</v>
      </c>
      <c r="C666" s="448">
        <v>1.6</v>
      </c>
      <c r="D666" s="448">
        <v>3.27</v>
      </c>
      <c r="E666" s="117">
        <f>ROUNDDOWN((0.8*2.1)+(0.6*0.7)-2,2)</f>
        <v>0.1</v>
      </c>
      <c r="F666" s="116">
        <f>ROUNDDOWN(((C666*D666)-E666),2)</f>
        <v>5.13</v>
      </c>
    </row>
    <row r="667" spans="1:6">
      <c r="A667" s="959" t="s">
        <v>452</v>
      </c>
      <c r="B667" s="110" t="s">
        <v>139</v>
      </c>
      <c r="C667" s="80">
        <v>1.66</v>
      </c>
      <c r="D667" s="80">
        <v>3.08</v>
      </c>
      <c r="E667" s="116"/>
      <c r="F667" s="116">
        <f>ROUNDDOWN(D667*C667,2)</f>
        <v>5.1100000000000003</v>
      </c>
    </row>
    <row r="668" spans="1:6">
      <c r="A668" s="921"/>
      <c r="B668" s="110" t="s">
        <v>451</v>
      </c>
      <c r="C668" s="80">
        <v>3.59</v>
      </c>
      <c r="D668" s="80">
        <v>3.08</v>
      </c>
      <c r="E668" s="116"/>
      <c r="F668" s="116">
        <f>ROUNDDOWN(D668*C668,2)</f>
        <v>11.05</v>
      </c>
    </row>
    <row r="669" spans="1:6">
      <c r="A669" s="960"/>
      <c r="B669" s="110" t="s">
        <v>519</v>
      </c>
      <c r="C669" s="957" t="s">
        <v>140</v>
      </c>
      <c r="D669" s="958"/>
      <c r="E669" s="117"/>
      <c r="F669" s="116">
        <f>(3.79*3.08)-(2.6*1)</f>
        <v>9.0731999999999999</v>
      </c>
    </row>
    <row r="670" spans="1:6">
      <c r="A670" s="477" t="s">
        <v>448</v>
      </c>
      <c r="B670" s="110" t="s">
        <v>542</v>
      </c>
      <c r="C670" s="120">
        <v>1.6</v>
      </c>
      <c r="D670" s="80">
        <v>3.08</v>
      </c>
      <c r="E670" s="117"/>
      <c r="F670" s="116">
        <f>ROUNDDOWN(D670*C670,2)</f>
        <v>4.92</v>
      </c>
    </row>
    <row r="671" spans="1:6">
      <c r="A671" s="477"/>
      <c r="B671" s="477" t="s">
        <v>541</v>
      </c>
      <c r="C671" s="120">
        <v>14.05</v>
      </c>
      <c r="D671" s="80">
        <f>2.11+1.1</f>
        <v>3.21</v>
      </c>
      <c r="E671" s="117"/>
      <c r="F671" s="116">
        <f>ROUNDDOWN(D671*C671,2)</f>
        <v>45.1</v>
      </c>
    </row>
    <row r="672" spans="1:6" ht="13.5" thickBot="1">
      <c r="A672" s="491"/>
      <c r="B672" s="492" t="s">
        <v>543</v>
      </c>
      <c r="C672" s="411">
        <f>6.26+14.05</f>
        <v>20.310000000000002</v>
      </c>
      <c r="D672" s="102">
        <v>0.54</v>
      </c>
      <c r="E672" s="368"/>
      <c r="F672" s="116">
        <f>ROUNDDOWN(D672*C672,2)</f>
        <v>10.96</v>
      </c>
    </row>
    <row r="673" spans="1:6">
      <c r="A673" s="994" t="s">
        <v>544</v>
      </c>
      <c r="B673" s="955" t="s">
        <v>545</v>
      </c>
      <c r="C673" s="372">
        <v>13.36</v>
      </c>
      <c r="D673" s="92">
        <v>4.33</v>
      </c>
      <c r="E673" s="118">
        <f>ROUNDDOWN((1.1*2)+(1.1*2)+(1.1*2)-2,2)</f>
        <v>4.5999999999999996</v>
      </c>
      <c r="F673" s="116">
        <f>ROUNDDOWN(((C673*D673)-E673),2)</f>
        <v>53.24</v>
      </c>
    </row>
    <row r="674" spans="1:6">
      <c r="A674" s="1068"/>
      <c r="B674" s="936"/>
      <c r="C674" s="120">
        <v>2.74</v>
      </c>
      <c r="D674" s="80">
        <f>4.33-0.54</f>
        <v>3.79</v>
      </c>
      <c r="E674" s="117"/>
      <c r="F674" s="116">
        <f>ROUNDDOWN(D674*C674,2)</f>
        <v>10.38</v>
      </c>
    </row>
    <row r="675" spans="1:6">
      <c r="A675" s="1068"/>
      <c r="B675" s="936"/>
      <c r="C675" s="120">
        <v>1.97</v>
      </c>
      <c r="D675" s="80">
        <v>1.57</v>
      </c>
      <c r="E675" s="117"/>
      <c r="F675" s="116">
        <f>ROUNDDOWN(D675*C675,2)</f>
        <v>3.09</v>
      </c>
    </row>
    <row r="676" spans="1:6">
      <c r="A676" s="1068"/>
      <c r="B676" s="110" t="s">
        <v>139</v>
      </c>
      <c r="C676" s="120">
        <f>6.28+0.7+0.7</f>
        <v>7.6800000000000006</v>
      </c>
      <c r="D676" s="80">
        <v>2.98</v>
      </c>
      <c r="E676" s="117"/>
      <c r="F676" s="116">
        <f>ROUNDDOWN(D676*C676,2)</f>
        <v>22.88</v>
      </c>
    </row>
    <row r="677" spans="1:6">
      <c r="A677" s="1068"/>
      <c r="B677" s="936" t="s">
        <v>451</v>
      </c>
      <c r="C677" s="80">
        <v>11.99</v>
      </c>
      <c r="D677" s="80">
        <v>3.23</v>
      </c>
      <c r="E677" s="118">
        <f>ROUNDDOWN((1.1*2)+(1.1*2)+(1.1*2)-2,2)</f>
        <v>4.5999999999999996</v>
      </c>
      <c r="F677" s="116">
        <f>ROUNDDOWN(((C677*D677)-E677),2)</f>
        <v>34.119999999999997</v>
      </c>
    </row>
    <row r="678" spans="1:6">
      <c r="A678" s="1068"/>
      <c r="B678" s="936"/>
      <c r="C678" s="448">
        <v>2.97</v>
      </c>
      <c r="D678" s="448">
        <f>3.23-2.23</f>
        <v>1</v>
      </c>
      <c r="E678" s="117"/>
      <c r="F678" s="116">
        <f>ROUNDDOWN(D678*C678,2)</f>
        <v>2.97</v>
      </c>
    </row>
    <row r="679" spans="1:6">
      <c r="A679" s="1068"/>
      <c r="B679" s="936"/>
      <c r="C679" s="80">
        <f>(2.08*2)+1.6</f>
        <v>5.76</v>
      </c>
      <c r="D679" s="80">
        <v>2.95</v>
      </c>
      <c r="E679" s="122"/>
      <c r="F679" s="116">
        <f>ROUNDDOWN(D679*C679,2)</f>
        <v>16.989999999999998</v>
      </c>
    </row>
    <row r="680" spans="1:6">
      <c r="A680" s="1068"/>
      <c r="B680" s="936"/>
      <c r="C680" s="80">
        <v>4.1100000000000003</v>
      </c>
      <c r="D680" s="80">
        <f>3.23+0.54</f>
        <v>3.77</v>
      </c>
      <c r="E680" s="122"/>
      <c r="F680" s="116">
        <f>ROUNDDOWN(D680*C680,2)</f>
        <v>15.49</v>
      </c>
    </row>
    <row r="681" spans="1:6" ht="12.75" customHeight="1">
      <c r="A681" s="1068"/>
      <c r="B681" s="110" t="s">
        <v>549</v>
      </c>
      <c r="C681" s="866" t="s">
        <v>140</v>
      </c>
      <c r="D681" s="867"/>
      <c r="E681" s="122"/>
      <c r="F681" s="116">
        <f>24.7+2.7</f>
        <v>27.4</v>
      </c>
    </row>
    <row r="682" spans="1:6" ht="12.75" customHeight="1">
      <c r="A682" s="943" t="s">
        <v>546</v>
      </c>
      <c r="B682" s="363" t="s">
        <v>533</v>
      </c>
      <c r="C682" s="403">
        <f>3.95+1.15+0.13+0.73</f>
        <v>5.9599999999999991</v>
      </c>
      <c r="D682" s="403">
        <v>2.98</v>
      </c>
      <c r="E682" s="122"/>
      <c r="F682" s="116">
        <f>ROUNDDOWN(D682*C682,2)</f>
        <v>17.760000000000002</v>
      </c>
    </row>
    <row r="683" spans="1:6">
      <c r="A683" s="915"/>
      <c r="B683" s="363" t="s">
        <v>454</v>
      </c>
      <c r="C683" s="403">
        <f>0.73+0.73+0.13</f>
        <v>1.5899999999999999</v>
      </c>
      <c r="D683" s="80">
        <v>2.98</v>
      </c>
      <c r="E683" s="122"/>
      <c r="F683" s="116">
        <f>ROUNDDOWN(D683*C683,2)</f>
        <v>4.7300000000000004</v>
      </c>
    </row>
    <row r="684" spans="1:6" ht="13.5" customHeight="1" thickBot="1">
      <c r="A684" s="916"/>
      <c r="B684" s="212" t="s">
        <v>547</v>
      </c>
      <c r="C684" s="518">
        <v>3.95</v>
      </c>
      <c r="D684" s="518">
        <v>0.63</v>
      </c>
      <c r="E684" s="213"/>
      <c r="F684" s="513">
        <f>((D684*C684)*6)+((0.15*C684)*3)+(C684*0.73)+(0.1*C684)</f>
        <v>19.987000000000002</v>
      </c>
    </row>
    <row r="685" spans="1:6">
      <c r="A685" s="920" t="s">
        <v>548</v>
      </c>
      <c r="B685" s="488" t="s">
        <v>545</v>
      </c>
      <c r="C685" s="493">
        <v>10.08</v>
      </c>
      <c r="D685" s="493">
        <v>3.15</v>
      </c>
      <c r="E685" s="118">
        <f>ROUNDDOWN((1.1*2)+(1.1*2)+(1.1*2)+(1.1*2)-2,2)</f>
        <v>6.8</v>
      </c>
      <c r="F685" s="116">
        <f>ROUNDDOWN(((C685*D685)-E685),2)</f>
        <v>24.95</v>
      </c>
    </row>
    <row r="686" spans="1:6">
      <c r="A686" s="921"/>
      <c r="B686" s="110" t="s">
        <v>139</v>
      </c>
      <c r="C686" s="403">
        <v>12.01</v>
      </c>
      <c r="D686" s="493">
        <v>3.15</v>
      </c>
      <c r="E686" s="118">
        <f>ROUNDDOWN((1.1*1.6)+(1.1*1.6)-2,2)</f>
        <v>1.52</v>
      </c>
      <c r="F686" s="116">
        <f>ROUNDDOWN(((C686*D686)-E686),2)</f>
        <v>36.31</v>
      </c>
    </row>
    <row r="687" spans="1:6">
      <c r="A687" s="921"/>
      <c r="B687" s="363" t="s">
        <v>550</v>
      </c>
      <c r="C687" s="403">
        <v>10.08</v>
      </c>
      <c r="D687" s="493">
        <v>3.15</v>
      </c>
      <c r="E687" s="118">
        <f>ROUNDDOWN((1.1*2)+(1.1*2)+(1.1*2)+(1.1*2)-2,2)</f>
        <v>6.8</v>
      </c>
      <c r="F687" s="116">
        <f>ROUNDDOWN(((C687*D687)-E687),2)</f>
        <v>24.95</v>
      </c>
    </row>
    <row r="688" spans="1:6">
      <c r="A688" s="921"/>
      <c r="B688" s="363" t="s">
        <v>551</v>
      </c>
      <c r="C688" s="403">
        <v>12.01</v>
      </c>
      <c r="D688" s="493">
        <v>3.15</v>
      </c>
      <c r="E688" s="118">
        <f>ROUNDDOWN((1.1*1.6)+(1.1*1.6)-2,2)</f>
        <v>1.52</v>
      </c>
      <c r="F688" s="116">
        <f>ROUNDDOWN(((C688*D688)-E688),2)</f>
        <v>36.31</v>
      </c>
    </row>
    <row r="689" spans="1:6" ht="25.5">
      <c r="A689" s="921"/>
      <c r="B689" s="486" t="s">
        <v>568</v>
      </c>
      <c r="C689" s="403">
        <f>16.35+0.32+0.23</f>
        <v>16.900000000000002</v>
      </c>
      <c r="D689" s="403">
        <v>2.2000000000000002</v>
      </c>
      <c r="E689" s="122"/>
      <c r="F689" s="116">
        <f>ROUNDDOWN(D689*C689,2)</f>
        <v>37.18</v>
      </c>
    </row>
    <row r="690" spans="1:6" ht="25.5">
      <c r="A690" s="921"/>
      <c r="B690" s="363" t="s">
        <v>553</v>
      </c>
      <c r="C690" s="403">
        <v>14.04</v>
      </c>
      <c r="D690" s="403">
        <v>0.22</v>
      </c>
      <c r="E690" s="122"/>
      <c r="F690" s="448">
        <f>(((C690*D690)*2)+0.13*C690)*2</f>
        <v>16.005600000000001</v>
      </c>
    </row>
    <row r="691" spans="1:6" ht="25.5">
      <c r="A691" s="921"/>
      <c r="B691" s="363" t="s">
        <v>552</v>
      </c>
      <c r="C691" s="403">
        <v>1.4</v>
      </c>
      <c r="D691" s="403">
        <f>2.2+0.23</f>
        <v>2.4300000000000002</v>
      </c>
      <c r="E691" s="122"/>
      <c r="F691" s="116">
        <f>ROUNDDOWN(D691*C691,2)</f>
        <v>3.4</v>
      </c>
    </row>
    <row r="692" spans="1:6">
      <c r="A692" s="921"/>
      <c r="B692" s="363" t="s">
        <v>187</v>
      </c>
      <c r="C692" s="403">
        <f>(0.2*4)*4</f>
        <v>3.2</v>
      </c>
      <c r="D692" s="403">
        <v>2.23</v>
      </c>
      <c r="E692" s="122"/>
      <c r="F692" s="116">
        <f>ROUNDDOWN(D692*C692,2)</f>
        <v>7.13</v>
      </c>
    </row>
    <row r="693" spans="1:6" ht="25.5">
      <c r="A693" s="921"/>
      <c r="B693" s="363" t="s">
        <v>554</v>
      </c>
      <c r="C693" s="403">
        <f>16.49+1.2</f>
        <v>17.689999999999998</v>
      </c>
      <c r="D693" s="403">
        <v>1</v>
      </c>
      <c r="E693" s="122"/>
      <c r="F693" s="116">
        <f>ROUNDDOWN(D693*C693,2)</f>
        <v>17.690000000000001</v>
      </c>
    </row>
    <row r="694" spans="1:6" ht="25.5">
      <c r="A694" s="921"/>
      <c r="B694" s="363" t="s">
        <v>555</v>
      </c>
      <c r="C694" s="866" t="s">
        <v>140</v>
      </c>
      <c r="D694" s="867"/>
      <c r="E694" s="122"/>
      <c r="F694" s="448">
        <v>29.8</v>
      </c>
    </row>
    <row r="695" spans="1:6">
      <c r="A695" s="921"/>
      <c r="B695" s="363" t="s">
        <v>556</v>
      </c>
      <c r="C695" s="403">
        <v>15.66</v>
      </c>
      <c r="D695" s="403">
        <v>0.22</v>
      </c>
      <c r="E695" s="122"/>
      <c r="F695" s="448">
        <f>((C695*D695)*2)+0.13*C695</f>
        <v>8.9262000000000015</v>
      </c>
    </row>
    <row r="696" spans="1:6" ht="26.25" thickBot="1">
      <c r="A696" s="922"/>
      <c r="B696" s="212" t="s">
        <v>557</v>
      </c>
      <c r="C696" s="868" t="s">
        <v>140</v>
      </c>
      <c r="D696" s="869"/>
      <c r="E696" s="213"/>
      <c r="F696" s="218">
        <f>2.93+2.45</f>
        <v>5.3800000000000008</v>
      </c>
    </row>
    <row r="697" spans="1:6" ht="13.5" thickBot="1">
      <c r="A697" s="494"/>
      <c r="B697" s="495" t="s">
        <v>558</v>
      </c>
      <c r="C697" s="496">
        <v>7.36</v>
      </c>
      <c r="D697" s="496">
        <v>3.2</v>
      </c>
      <c r="E697" s="415"/>
      <c r="F697" s="116">
        <f>ROUNDDOWN(D697*C697,2)</f>
        <v>23.55</v>
      </c>
    </row>
    <row r="698" spans="1:6">
      <c r="A698" s="920" t="s">
        <v>559</v>
      </c>
      <c r="B698" s="505" t="s">
        <v>550</v>
      </c>
      <c r="C698" s="950" t="s">
        <v>140</v>
      </c>
      <c r="D698" s="951"/>
      <c r="E698" s="381"/>
      <c r="F698" s="420">
        <f>41.87+20.97+20.97+1.21</f>
        <v>85.02</v>
      </c>
    </row>
    <row r="699" spans="1:6">
      <c r="A699" s="921"/>
      <c r="B699" s="486" t="s">
        <v>560</v>
      </c>
      <c r="C699" s="866" t="s">
        <v>140</v>
      </c>
      <c r="D699" s="867"/>
      <c r="E699" s="122"/>
      <c r="F699" s="475">
        <f>36.72+1.8+30.49+61.82+3.34</f>
        <v>134.16999999999999</v>
      </c>
    </row>
    <row r="700" spans="1:6" ht="25.5">
      <c r="A700" s="921"/>
      <c r="B700" s="486" t="s">
        <v>562</v>
      </c>
      <c r="C700" s="866" t="s">
        <v>140</v>
      </c>
      <c r="D700" s="867"/>
      <c r="E700" s="122"/>
      <c r="F700" s="475">
        <f>30.18+1.45</f>
        <v>31.63</v>
      </c>
    </row>
    <row r="701" spans="1:6" ht="13.5" thickBot="1">
      <c r="A701" s="922"/>
      <c r="B701" s="212" t="s">
        <v>561</v>
      </c>
      <c r="C701" s="868" t="s">
        <v>140</v>
      </c>
      <c r="D701" s="869"/>
      <c r="E701" s="213"/>
      <c r="F701" s="218">
        <f>23.04+24.96+2.49</f>
        <v>50.49</v>
      </c>
    </row>
    <row r="702" spans="1:6">
      <c r="A702" s="921" t="s">
        <v>584</v>
      </c>
      <c r="B702" s="488" t="s">
        <v>585</v>
      </c>
      <c r="C702" s="950" t="s">
        <v>140</v>
      </c>
      <c r="D702" s="951"/>
      <c r="E702" s="367"/>
      <c r="F702" s="104">
        <v>3.73</v>
      </c>
    </row>
    <row r="703" spans="1:6">
      <c r="A703" s="921"/>
      <c r="B703" s="206" t="s">
        <v>586</v>
      </c>
      <c r="C703" s="912" t="s">
        <v>140</v>
      </c>
      <c r="D703" s="913"/>
      <c r="E703" s="123"/>
      <c r="F703" s="113">
        <f>21.18+1.24</f>
        <v>22.419999999999998</v>
      </c>
    </row>
    <row r="704" spans="1:6" ht="13.5" thickBot="1">
      <c r="A704" s="497"/>
      <c r="B704" s="510" t="s">
        <v>587</v>
      </c>
      <c r="C704" s="160">
        <v>6.31</v>
      </c>
      <c r="D704" s="160">
        <f>0.8+0.5</f>
        <v>1.3</v>
      </c>
      <c r="E704" s="123"/>
      <c r="F704" s="116">
        <f>ROUNDDOWN(D704*C704,2)</f>
        <v>8.1999999999999993</v>
      </c>
    </row>
    <row r="705" spans="1:6" ht="27" customHeight="1" thickBot="1">
      <c r="A705" s="74">
        <v>88487</v>
      </c>
      <c r="B705" s="871" t="s">
        <v>245</v>
      </c>
      <c r="C705" s="871"/>
      <c r="D705" s="871"/>
      <c r="E705" s="75" t="s">
        <v>123</v>
      </c>
      <c r="F705" s="76">
        <f>ROUNDDOWN(F707+F708+F709+F710+F711+F712+F713+F714+F715+F716+F717+F718+F719+F720+F721+F722+F723+F724+F725+F726+F727+F728+F729,2)</f>
        <v>550.29</v>
      </c>
    </row>
    <row r="706" spans="1:6">
      <c r="A706" s="82"/>
      <c r="B706" s="118" t="s">
        <v>119</v>
      </c>
      <c r="C706" s="118" t="s">
        <v>395</v>
      </c>
      <c r="D706" s="118" t="s">
        <v>126</v>
      </c>
      <c r="E706" s="119" t="s">
        <v>138</v>
      </c>
      <c r="F706" s="97" t="s">
        <v>13</v>
      </c>
    </row>
    <row r="707" spans="1:6">
      <c r="A707" s="917" t="s">
        <v>441</v>
      </c>
      <c r="B707" s="110" t="s">
        <v>449</v>
      </c>
      <c r="C707" s="80">
        <v>7</v>
      </c>
      <c r="D707" s="80">
        <v>2.98</v>
      </c>
      <c r="E707" s="117">
        <f>ROUNDDOWN(1.1*2*2-2,2)</f>
        <v>2.4</v>
      </c>
      <c r="F707" s="116">
        <f>((C707*D707)-E707)</f>
        <v>18.46</v>
      </c>
    </row>
    <row r="708" spans="1:6" ht="25.5">
      <c r="A708" s="918"/>
      <c r="B708" s="680" t="s">
        <v>450</v>
      </c>
      <c r="C708" s="870">
        <v>19.61</v>
      </c>
      <c r="D708" s="870"/>
      <c r="E708" s="117">
        <f>ROUNDDOWN(1.1*1.6*2-2,2)</f>
        <v>1.52</v>
      </c>
      <c r="F708" s="116">
        <f>(C708-E708)</f>
        <v>18.09</v>
      </c>
    </row>
    <row r="709" spans="1:6" ht="25.5">
      <c r="A709" s="918"/>
      <c r="B709" s="680" t="s">
        <v>196</v>
      </c>
      <c r="C709" s="870">
        <v>19.61</v>
      </c>
      <c r="D709" s="870"/>
      <c r="E709" s="117"/>
      <c r="F709" s="448">
        <f>(C709-E709)</f>
        <v>19.61</v>
      </c>
    </row>
    <row r="710" spans="1:6">
      <c r="A710" s="919"/>
      <c r="B710" s="110" t="s">
        <v>533</v>
      </c>
      <c r="C710" s="120">
        <v>7</v>
      </c>
      <c r="D710" s="120">
        <v>2.98</v>
      </c>
      <c r="E710" s="117"/>
      <c r="F710" s="448">
        <f>D710*C710</f>
        <v>20.86</v>
      </c>
    </row>
    <row r="711" spans="1:6">
      <c r="A711" s="959" t="s">
        <v>445</v>
      </c>
      <c r="B711" s="363" t="s">
        <v>451</v>
      </c>
      <c r="C711" s="448">
        <v>1.6</v>
      </c>
      <c r="D711" s="448">
        <f>2.98-1.6</f>
        <v>1.38</v>
      </c>
      <c r="E711" s="117">
        <f>ROUNDDOWN((0.8*2.1)+(0.6*0.7)-2,2)</f>
        <v>0.1</v>
      </c>
      <c r="F711" s="116">
        <f>((C711*D711)-E711)</f>
        <v>2.1079999999999997</v>
      </c>
    </row>
    <row r="712" spans="1:6">
      <c r="A712" s="921"/>
      <c r="B712" s="110" t="s">
        <v>533</v>
      </c>
      <c r="C712" s="448">
        <v>1.6</v>
      </c>
      <c r="D712" s="448">
        <f>2.98-1.6</f>
        <v>1.38</v>
      </c>
      <c r="E712" s="117"/>
      <c r="F712" s="116">
        <f>D712*C712</f>
        <v>2.2079999999999997</v>
      </c>
    </row>
    <row r="713" spans="1:6">
      <c r="A713" s="921"/>
      <c r="B713" s="110" t="s">
        <v>139</v>
      </c>
      <c r="C713" s="448">
        <v>2</v>
      </c>
      <c r="D713" s="448">
        <f>2.98-1.6</f>
        <v>1.38</v>
      </c>
      <c r="E713" s="117"/>
      <c r="F713" s="116">
        <f>D713*C713</f>
        <v>2.76</v>
      </c>
    </row>
    <row r="714" spans="1:6">
      <c r="A714" s="960"/>
      <c r="B714" s="110" t="s">
        <v>519</v>
      </c>
      <c r="C714" s="448">
        <v>2</v>
      </c>
      <c r="D714" s="448">
        <f>2.98-1.6</f>
        <v>1.38</v>
      </c>
      <c r="E714" s="117"/>
      <c r="F714" s="116">
        <f>D714*C714</f>
        <v>2.76</v>
      </c>
    </row>
    <row r="715" spans="1:6">
      <c r="A715" s="1028" t="s">
        <v>534</v>
      </c>
      <c r="B715" s="453" t="s">
        <v>449</v>
      </c>
      <c r="C715" s="403">
        <v>4.3899999999999997</v>
      </c>
      <c r="D715" s="403">
        <v>2.96</v>
      </c>
      <c r="E715" s="117">
        <f>ROUNDDOWN((1.1*2)-2,2)</f>
        <v>0.2</v>
      </c>
      <c r="F715" s="116">
        <f>((C715*D715)-E715)</f>
        <v>12.7944</v>
      </c>
    </row>
    <row r="716" spans="1:6">
      <c r="A716" s="1067"/>
      <c r="B716" s="453" t="s">
        <v>535</v>
      </c>
      <c r="C716" s="403">
        <v>3.94</v>
      </c>
      <c r="D716" s="403">
        <v>2.96</v>
      </c>
      <c r="E716" s="117"/>
      <c r="F716" s="116">
        <f>D716*C716</f>
        <v>11.6624</v>
      </c>
    </row>
    <row r="717" spans="1:6" ht="25.5">
      <c r="A717" s="1067"/>
      <c r="B717" s="453" t="s">
        <v>536</v>
      </c>
      <c r="C717" s="403">
        <v>4.3899999999999997</v>
      </c>
      <c r="D717" s="403">
        <v>2.96</v>
      </c>
      <c r="E717" s="117">
        <f>ROUNDDOWN((1.1*2)-2,2)</f>
        <v>0.2</v>
      </c>
      <c r="F717" s="116">
        <f>((C717*D717)-E717)</f>
        <v>12.7944</v>
      </c>
    </row>
    <row r="718" spans="1:6" ht="25.5">
      <c r="A718" s="1029"/>
      <c r="B718" s="453" t="s">
        <v>537</v>
      </c>
      <c r="C718" s="403">
        <v>3.94</v>
      </c>
      <c r="D718" s="403">
        <v>2.96</v>
      </c>
      <c r="E718" s="117"/>
      <c r="F718" s="116">
        <f>D718*C718</f>
        <v>11.6624</v>
      </c>
    </row>
    <row r="719" spans="1:6">
      <c r="A719" s="1028" t="s">
        <v>515</v>
      </c>
      <c r="B719" s="453" t="s">
        <v>449</v>
      </c>
      <c r="C719" s="403">
        <v>4.3899999999999997</v>
      </c>
      <c r="D719" s="403">
        <v>2.96</v>
      </c>
      <c r="E719" s="117">
        <f>ROUNDDOWN((1.1*2)-2,2)</f>
        <v>0.2</v>
      </c>
      <c r="F719" s="116">
        <f>((C719*D719)-E719)</f>
        <v>12.7944</v>
      </c>
    </row>
    <row r="720" spans="1:6">
      <c r="A720" s="1067"/>
      <c r="B720" s="447" t="s">
        <v>535</v>
      </c>
      <c r="C720" s="160">
        <v>3.94</v>
      </c>
      <c r="D720" s="490">
        <v>2.96</v>
      </c>
      <c r="E720" s="123"/>
      <c r="F720" s="112">
        <f>D720*C720</f>
        <v>11.6624</v>
      </c>
    </row>
    <row r="721" spans="1:6" ht="25.5">
      <c r="A721" s="1067"/>
      <c r="B721" s="453" t="s">
        <v>536</v>
      </c>
      <c r="C721" s="403">
        <v>4.3899999999999997</v>
      </c>
      <c r="D721" s="403">
        <v>2.96</v>
      </c>
      <c r="E721" s="117">
        <f>ROUNDDOWN((1.1*2)-2,2)</f>
        <v>0.2</v>
      </c>
      <c r="F721" s="116">
        <f>((C721*D721)-E721)</f>
        <v>12.7944</v>
      </c>
    </row>
    <row r="722" spans="1:6" ht="25.5">
      <c r="A722" s="1029"/>
      <c r="B722" s="453" t="s">
        <v>537</v>
      </c>
      <c r="C722" s="403">
        <v>3.94</v>
      </c>
      <c r="D722" s="403">
        <v>2.96</v>
      </c>
      <c r="E722" s="123"/>
      <c r="F722" s="112">
        <f>D722*C722</f>
        <v>11.6624</v>
      </c>
    </row>
    <row r="723" spans="1:6">
      <c r="A723" s="105"/>
      <c r="B723" s="478" t="s">
        <v>510</v>
      </c>
      <c r="C723" s="120">
        <v>17.7</v>
      </c>
      <c r="D723" s="403">
        <v>2.96</v>
      </c>
      <c r="E723" s="117">
        <f>ROUNDDOWN((1.1*2)-2,2)</f>
        <v>0.2</v>
      </c>
      <c r="F723" s="116">
        <f>(D723*C723)-E723</f>
        <v>52.191999999999993</v>
      </c>
    </row>
    <row r="724" spans="1:6">
      <c r="A724" s="105"/>
      <c r="B724" s="478" t="s">
        <v>489</v>
      </c>
      <c r="C724" s="80">
        <v>19.739999999999998</v>
      </c>
      <c r="D724" s="403">
        <v>2.94</v>
      </c>
      <c r="E724" s="117">
        <f>ROUNDDOWN((1.1*2)+(1.1*2)-2,2)</f>
        <v>2.4</v>
      </c>
      <c r="F724" s="116">
        <f>(D724*C724)-E724</f>
        <v>55.635599999999997</v>
      </c>
    </row>
    <row r="725" spans="1:6">
      <c r="A725" s="105"/>
      <c r="B725" s="478" t="s">
        <v>471</v>
      </c>
      <c r="C725" s="80">
        <v>8.84</v>
      </c>
      <c r="D725" s="80">
        <v>2.6</v>
      </c>
      <c r="E725" s="117"/>
      <c r="F725" s="448">
        <f>D725*C725</f>
        <v>22.984000000000002</v>
      </c>
    </row>
    <row r="726" spans="1:6">
      <c r="A726" s="105"/>
      <c r="B726" s="478" t="s">
        <v>469</v>
      </c>
      <c r="C726" s="80">
        <v>21.44</v>
      </c>
      <c r="D726" s="80">
        <v>2.95</v>
      </c>
      <c r="E726" s="681">
        <f>ROUNDDOWN((1.1*2)+(1.1*2)+(1.1*1.6)-2,2)</f>
        <v>4.16</v>
      </c>
      <c r="F726" s="448">
        <f>ROUNDDOWN((D726*C726)-E726,2)</f>
        <v>59.08</v>
      </c>
    </row>
    <row r="727" spans="1:6">
      <c r="A727" s="105"/>
      <c r="B727" s="478" t="s">
        <v>470</v>
      </c>
      <c r="C727" s="80">
        <v>21.34</v>
      </c>
      <c r="D727" s="80">
        <v>2.95</v>
      </c>
      <c r="E727" s="681">
        <f t="shared" ref="E727:E729" si="21">ROUNDDOWN((1.1*2)+(1.1*2)+(1.1*1.6)-2,2)</f>
        <v>4.16</v>
      </c>
      <c r="F727" s="683">
        <f t="shared" ref="F727:F729" si="22">ROUNDDOWN((D727*C727)-E727,2)</f>
        <v>58.79</v>
      </c>
    </row>
    <row r="728" spans="1:6">
      <c r="A728" s="105"/>
      <c r="B728" s="478" t="s">
        <v>152</v>
      </c>
      <c r="C728" s="80">
        <v>21.28</v>
      </c>
      <c r="D728" s="80">
        <v>2.95</v>
      </c>
      <c r="E728" s="681">
        <f t="shared" si="21"/>
        <v>4.16</v>
      </c>
      <c r="F728" s="683">
        <f t="shared" si="22"/>
        <v>58.61</v>
      </c>
    </row>
    <row r="729" spans="1:6" ht="13.5" thickBot="1">
      <c r="A729" s="105"/>
      <c r="B729" s="478" t="s">
        <v>197</v>
      </c>
      <c r="C729" s="80">
        <v>21.18</v>
      </c>
      <c r="D729" s="80">
        <v>2.95</v>
      </c>
      <c r="E729" s="681">
        <f t="shared" si="21"/>
        <v>4.16</v>
      </c>
      <c r="F729" s="683">
        <f t="shared" si="22"/>
        <v>58.32</v>
      </c>
    </row>
    <row r="730" spans="1:6" s="81" customFormat="1" ht="29.25" customHeight="1" thickBot="1">
      <c r="A730" s="74">
        <v>88489</v>
      </c>
      <c r="B730" s="871" t="s">
        <v>246</v>
      </c>
      <c r="C730" s="871"/>
      <c r="D730" s="871"/>
      <c r="E730" s="75" t="s">
        <v>123</v>
      </c>
      <c r="F730" s="76">
        <f>ROUNDDOWN(F732+F733+F734+F735+F736+F737+F738+F739+F740+F741+F742+F743+F744+F745+F746+F747+F748+F749+F750+F751+F752+F753+F754+F755+F756+F757+F758+F759+F760+F761+F762+F763+F764+F765+F766+F767+F768+F769+F770+F771+F772+F773,2)</f>
        <v>979.31</v>
      </c>
    </row>
    <row r="731" spans="1:6" ht="15" customHeight="1">
      <c r="A731" s="82"/>
      <c r="B731" s="118" t="s">
        <v>119</v>
      </c>
      <c r="C731" s="118" t="s">
        <v>120</v>
      </c>
      <c r="D731" s="118" t="s">
        <v>126</v>
      </c>
      <c r="E731" s="119" t="s">
        <v>138</v>
      </c>
      <c r="F731" s="97" t="s">
        <v>13</v>
      </c>
    </row>
    <row r="732" spans="1:6" ht="15" customHeight="1">
      <c r="A732" s="917" t="s">
        <v>441</v>
      </c>
      <c r="B732" s="485" t="s">
        <v>449</v>
      </c>
      <c r="C732" s="80">
        <v>7.26</v>
      </c>
      <c r="D732" s="80">
        <v>3.08</v>
      </c>
      <c r="E732" s="117">
        <f>ROUNDDOWN(1.1*2*2-2,2)</f>
        <v>2.4</v>
      </c>
      <c r="F732" s="116">
        <f>((C732*D732)-E732)</f>
        <v>19.960800000000003</v>
      </c>
    </row>
    <row r="733" spans="1:6" ht="15" customHeight="1">
      <c r="A733" s="918"/>
      <c r="B733" s="485" t="s">
        <v>538</v>
      </c>
      <c r="C733" s="870">
        <v>20.6</v>
      </c>
      <c r="D733" s="870"/>
      <c r="E733" s="117">
        <f>ROUNDDOWN(1.1*1.6*2-2,2)</f>
        <v>1.52</v>
      </c>
      <c r="F733" s="116">
        <f>(C733-E733)</f>
        <v>19.080000000000002</v>
      </c>
    </row>
    <row r="734" spans="1:6" ht="15" customHeight="1">
      <c r="A734" s="918"/>
      <c r="B734" s="486" t="s">
        <v>540</v>
      </c>
      <c r="C734" s="870" t="s">
        <v>539</v>
      </c>
      <c r="D734" s="870"/>
      <c r="E734" s="117"/>
      <c r="F734" s="475">
        <v>12.57</v>
      </c>
    </row>
    <row r="735" spans="1:6" ht="15" customHeight="1">
      <c r="A735" s="476" t="s">
        <v>445</v>
      </c>
      <c r="B735" s="486" t="s">
        <v>451</v>
      </c>
      <c r="C735" s="475">
        <v>1.6</v>
      </c>
      <c r="D735" s="475">
        <v>3.27</v>
      </c>
      <c r="E735" s="117">
        <f>ROUNDDOWN((0.8*2.1)+(0.6*0.7)-2,2)</f>
        <v>0.1</v>
      </c>
      <c r="F735" s="116">
        <f>((C735*D735)-E735)</f>
        <v>5.1320000000000006</v>
      </c>
    </row>
    <row r="736" spans="1:6" ht="15" customHeight="1">
      <c r="A736" s="959" t="s">
        <v>452</v>
      </c>
      <c r="B736" s="485" t="s">
        <v>139</v>
      </c>
      <c r="C736" s="80">
        <v>1.66</v>
      </c>
      <c r="D736" s="80">
        <v>3.08</v>
      </c>
      <c r="E736" s="116"/>
      <c r="F736" s="116">
        <f>D736*C736</f>
        <v>5.1128</v>
      </c>
    </row>
    <row r="737" spans="1:6" ht="15" customHeight="1">
      <c r="A737" s="921"/>
      <c r="B737" s="485" t="s">
        <v>451</v>
      </c>
      <c r="C737" s="80">
        <v>3.59</v>
      </c>
      <c r="D737" s="80">
        <v>3.08</v>
      </c>
      <c r="E737" s="116"/>
      <c r="F737" s="116">
        <f>D737*C737</f>
        <v>11.0572</v>
      </c>
    </row>
    <row r="738" spans="1:6" ht="15" customHeight="1">
      <c r="A738" s="960"/>
      <c r="B738" s="485" t="s">
        <v>519</v>
      </c>
      <c r="C738" s="957" t="s">
        <v>140</v>
      </c>
      <c r="D738" s="958"/>
      <c r="E738" s="117"/>
      <c r="F738" s="116">
        <f>(3.79*3.08)-(2.6*1)</f>
        <v>9.0731999999999999</v>
      </c>
    </row>
    <row r="739" spans="1:6" ht="15" customHeight="1">
      <c r="A739" s="477" t="s">
        <v>448</v>
      </c>
      <c r="B739" s="485" t="s">
        <v>542</v>
      </c>
      <c r="C739" s="489">
        <v>1.6</v>
      </c>
      <c r="D739" s="80">
        <v>3.08</v>
      </c>
      <c r="E739" s="117"/>
      <c r="F739" s="116">
        <f>D739*C739</f>
        <v>4.9280000000000008</v>
      </c>
    </row>
    <row r="740" spans="1:6" ht="15" customHeight="1">
      <c r="A740" s="477"/>
      <c r="B740" s="477" t="s">
        <v>541</v>
      </c>
      <c r="C740" s="489">
        <v>14.05</v>
      </c>
      <c r="D740" s="80">
        <f>2.11+1.1</f>
        <v>3.21</v>
      </c>
      <c r="E740" s="117"/>
      <c r="F740" s="116">
        <f>D740*C740</f>
        <v>45.100500000000004</v>
      </c>
    </row>
    <row r="741" spans="1:6" ht="15" customHeight="1">
      <c r="A741" s="87"/>
      <c r="B741" s="479" t="s">
        <v>543</v>
      </c>
      <c r="C741" s="160">
        <f>6.26+14.05</f>
        <v>20.310000000000002</v>
      </c>
      <c r="D741" s="88">
        <v>0.54</v>
      </c>
      <c r="E741" s="161"/>
      <c r="F741" s="112">
        <f>D741*C741</f>
        <v>10.967400000000001</v>
      </c>
    </row>
    <row r="742" spans="1:6" ht="15" customHeight="1">
      <c r="A742" s="1068" t="s">
        <v>544</v>
      </c>
      <c r="B742" s="936" t="s">
        <v>545</v>
      </c>
      <c r="C742" s="489">
        <v>13.36</v>
      </c>
      <c r="D742" s="80">
        <v>4.33</v>
      </c>
      <c r="E742" s="117">
        <f>ROUNDDOWN((1.1*2)+(1.1*2)+(1.1*2)-2,2)</f>
        <v>4.5999999999999996</v>
      </c>
      <c r="F742" s="116">
        <f>((C742*D742)-E742)</f>
        <v>53.248799999999996</v>
      </c>
    </row>
    <row r="743" spans="1:6" ht="15" customHeight="1">
      <c r="A743" s="1068"/>
      <c r="B743" s="936"/>
      <c r="C743" s="489">
        <v>2.74</v>
      </c>
      <c r="D743" s="80">
        <f>4.33-0.54</f>
        <v>3.79</v>
      </c>
      <c r="E743" s="117"/>
      <c r="F743" s="116">
        <f>D743*C743</f>
        <v>10.384600000000001</v>
      </c>
    </row>
    <row r="744" spans="1:6" ht="15" customHeight="1">
      <c r="A744" s="1068"/>
      <c r="B744" s="936"/>
      <c r="C744" s="489">
        <v>1.97</v>
      </c>
      <c r="D744" s="80">
        <v>1.57</v>
      </c>
      <c r="E744" s="117"/>
      <c r="F744" s="116">
        <f>D744*C744</f>
        <v>3.0929000000000002</v>
      </c>
    </row>
    <row r="745" spans="1:6" ht="15" customHeight="1">
      <c r="A745" s="1068"/>
      <c r="B745" s="485" t="s">
        <v>139</v>
      </c>
      <c r="C745" s="489">
        <f>6.28+0.7+0.7</f>
        <v>7.6800000000000006</v>
      </c>
      <c r="D745" s="80">
        <v>2.98</v>
      </c>
      <c r="E745" s="117"/>
      <c r="F745" s="116">
        <f>D745*C745</f>
        <v>22.886400000000002</v>
      </c>
    </row>
    <row r="746" spans="1:6" ht="15" customHeight="1">
      <c r="A746" s="1068"/>
      <c r="B746" s="936" t="s">
        <v>451</v>
      </c>
      <c r="C746" s="80">
        <v>11.99</v>
      </c>
      <c r="D746" s="80">
        <v>3.23</v>
      </c>
      <c r="E746" s="117">
        <f>ROUNDDOWN((1.1*2)+(1.1*2)+(1.1*2)-2,2)</f>
        <v>4.5999999999999996</v>
      </c>
      <c r="F746" s="116">
        <f>((C746*D746)-E746)</f>
        <v>34.127699999999997</v>
      </c>
    </row>
    <row r="747" spans="1:6" ht="15" customHeight="1">
      <c r="A747" s="1068"/>
      <c r="B747" s="936"/>
      <c r="C747" s="475">
        <v>2.97</v>
      </c>
      <c r="D747" s="475">
        <f>3.23-2.23</f>
        <v>1</v>
      </c>
      <c r="E747" s="117"/>
      <c r="F747" s="116">
        <f>D747*C747</f>
        <v>2.97</v>
      </c>
    </row>
    <row r="748" spans="1:6" ht="15" customHeight="1">
      <c r="A748" s="1068"/>
      <c r="B748" s="936"/>
      <c r="C748" s="80">
        <f>(2.08*2)+1.6</f>
        <v>5.76</v>
      </c>
      <c r="D748" s="80">
        <v>2.95</v>
      </c>
      <c r="E748" s="122"/>
      <c r="F748" s="116">
        <f>D748*C748</f>
        <v>16.992000000000001</v>
      </c>
    </row>
    <row r="749" spans="1:6" ht="15" customHeight="1">
      <c r="A749" s="1068"/>
      <c r="B749" s="936"/>
      <c r="C749" s="80">
        <v>4.1100000000000003</v>
      </c>
      <c r="D749" s="80">
        <f>3.23+0.54</f>
        <v>3.77</v>
      </c>
      <c r="E749" s="122"/>
      <c r="F749" s="116">
        <f>D749*C749</f>
        <v>15.494700000000002</v>
      </c>
    </row>
    <row r="750" spans="1:6" ht="30" customHeight="1">
      <c r="A750" s="1068"/>
      <c r="B750" s="680" t="s">
        <v>549</v>
      </c>
      <c r="C750" s="870" t="s">
        <v>140</v>
      </c>
      <c r="D750" s="870"/>
      <c r="E750" s="122"/>
      <c r="F750" s="116">
        <f>24.7+2.7</f>
        <v>27.4</v>
      </c>
    </row>
    <row r="751" spans="1:6" ht="15" customHeight="1">
      <c r="A751" s="940" t="s">
        <v>546</v>
      </c>
      <c r="B751" s="486" t="s">
        <v>533</v>
      </c>
      <c r="C751" s="403">
        <f>3.95+1.15+0.13+0.73</f>
        <v>5.9599999999999991</v>
      </c>
      <c r="D751" s="403">
        <v>2.98</v>
      </c>
      <c r="E751" s="122"/>
      <c r="F751" s="512">
        <f>D751*C751</f>
        <v>17.760799999999996</v>
      </c>
    </row>
    <row r="752" spans="1:6" ht="15" customHeight="1">
      <c r="A752" s="940"/>
      <c r="B752" s="486" t="s">
        <v>454</v>
      </c>
      <c r="C752" s="403">
        <f>0.73+0.73+0.13</f>
        <v>1.5899999999999999</v>
      </c>
      <c r="D752" s="80">
        <v>2.98</v>
      </c>
      <c r="E752" s="122"/>
      <c r="F752" s="104">
        <f>D752*C752</f>
        <v>4.7382</v>
      </c>
    </row>
    <row r="753" spans="1:6" ht="15" customHeight="1" thickBot="1">
      <c r="A753" s="949"/>
      <c r="B753" s="212" t="s">
        <v>547</v>
      </c>
      <c r="C753" s="518">
        <v>3.95</v>
      </c>
      <c r="D753" s="518">
        <v>0.63</v>
      </c>
      <c r="E753" s="213"/>
      <c r="F753" s="513">
        <f>((D753*C753)*6)+((0.15*C753)*3)+(C753*0.73)+(0.1*C753)</f>
        <v>19.987000000000002</v>
      </c>
    </row>
    <row r="754" spans="1:6" ht="15" customHeight="1">
      <c r="A754" s="921" t="s">
        <v>548</v>
      </c>
      <c r="B754" s="488" t="s">
        <v>545</v>
      </c>
      <c r="C754" s="493">
        <v>10.08</v>
      </c>
      <c r="D754" s="493">
        <v>3.15</v>
      </c>
      <c r="E754" s="118">
        <f>ROUNDDOWN((1.1*2)+(1.1*2)+(1.1*2)+(1.1*2)-2,2)</f>
        <v>6.8</v>
      </c>
      <c r="F754" s="104">
        <f>ROUNDDOWN((D754*C754)-E754,2)</f>
        <v>24.95</v>
      </c>
    </row>
    <row r="755" spans="1:6" ht="15" customHeight="1">
      <c r="A755" s="921"/>
      <c r="B755" s="485" t="s">
        <v>139</v>
      </c>
      <c r="C755" s="403">
        <v>12.01</v>
      </c>
      <c r="D755" s="493">
        <v>3.15</v>
      </c>
      <c r="E755" s="118">
        <f>ROUNDDOWN((1.1*1.6)+(1.1*1.6)-2,2)</f>
        <v>1.52</v>
      </c>
      <c r="F755" s="104">
        <f t="shared" ref="F755:F757" si="23">ROUNDDOWN((D755*C755)-E755,2)</f>
        <v>36.31</v>
      </c>
    </row>
    <row r="756" spans="1:6" ht="15" customHeight="1">
      <c r="A756" s="921"/>
      <c r="B756" s="486" t="s">
        <v>550</v>
      </c>
      <c r="C756" s="403">
        <v>10.08</v>
      </c>
      <c r="D756" s="493">
        <v>3.15</v>
      </c>
      <c r="E756" s="118">
        <f>ROUNDDOWN((1.1*2)+(1.1*2)+(1.1*2)+(1.1*2)-2,2)</f>
        <v>6.8</v>
      </c>
      <c r="F756" s="104">
        <f t="shared" si="23"/>
        <v>24.95</v>
      </c>
    </row>
    <row r="757" spans="1:6" ht="15" customHeight="1">
      <c r="A757" s="921"/>
      <c r="B757" s="486" t="s">
        <v>551</v>
      </c>
      <c r="C757" s="403">
        <v>12.01</v>
      </c>
      <c r="D757" s="493">
        <v>3.15</v>
      </c>
      <c r="E757" s="118">
        <f>ROUNDDOWN((1.1*1.6)+(1.1*1.6)-2,2)</f>
        <v>1.52</v>
      </c>
      <c r="F757" s="104">
        <f t="shared" si="23"/>
        <v>36.31</v>
      </c>
    </row>
    <row r="758" spans="1:6" ht="15" customHeight="1">
      <c r="A758" s="921"/>
      <c r="B758" s="486" t="s">
        <v>568</v>
      </c>
      <c r="C758" s="403">
        <f>16.35+0.32+0.23</f>
        <v>16.900000000000002</v>
      </c>
      <c r="D758" s="403">
        <v>2.2000000000000002</v>
      </c>
      <c r="E758" s="122"/>
      <c r="F758" s="104">
        <f>D758*C758</f>
        <v>37.180000000000007</v>
      </c>
    </row>
    <row r="759" spans="1:6" ht="15" customHeight="1">
      <c r="A759" s="921"/>
      <c r="B759" s="486" t="s">
        <v>553</v>
      </c>
      <c r="C759" s="403">
        <v>14.04</v>
      </c>
      <c r="D759" s="403">
        <v>0.22</v>
      </c>
      <c r="E759" s="122"/>
      <c r="F759" s="475">
        <f>(((C759*D759)*2)+0.13*C759)*2</f>
        <v>16.005600000000001</v>
      </c>
    </row>
    <row r="760" spans="1:6" ht="15" customHeight="1">
      <c r="A760" s="921"/>
      <c r="B760" s="486" t="s">
        <v>552</v>
      </c>
      <c r="C760" s="403">
        <v>1.4</v>
      </c>
      <c r="D760" s="403">
        <f>2.2+0.23</f>
        <v>2.4300000000000002</v>
      </c>
      <c r="E760" s="122"/>
      <c r="F760" s="104">
        <f>D760*C760</f>
        <v>3.4020000000000001</v>
      </c>
    </row>
    <row r="761" spans="1:6" ht="15" customHeight="1">
      <c r="A761" s="921"/>
      <c r="B761" s="486" t="s">
        <v>187</v>
      </c>
      <c r="C761" s="403">
        <f>(0.2*4)*4</f>
        <v>3.2</v>
      </c>
      <c r="D761" s="403">
        <v>2.23</v>
      </c>
      <c r="E761" s="122"/>
      <c r="F761" s="104">
        <f>D761*C761</f>
        <v>7.1360000000000001</v>
      </c>
    </row>
    <row r="762" spans="1:6" ht="15" customHeight="1">
      <c r="A762" s="921"/>
      <c r="B762" s="486" t="s">
        <v>554</v>
      </c>
      <c r="C762" s="403">
        <f>16.49+1.2</f>
        <v>17.689999999999998</v>
      </c>
      <c r="D762" s="403">
        <v>1</v>
      </c>
      <c r="E762" s="122"/>
      <c r="F762" s="475">
        <f>D762*C762</f>
        <v>17.689999999999998</v>
      </c>
    </row>
    <row r="763" spans="1:6" ht="15" customHeight="1">
      <c r="A763" s="921"/>
      <c r="B763" s="486" t="s">
        <v>555</v>
      </c>
      <c r="C763" s="866" t="s">
        <v>140</v>
      </c>
      <c r="D763" s="867"/>
      <c r="E763" s="122"/>
      <c r="F763" s="475">
        <v>29.8</v>
      </c>
    </row>
    <row r="764" spans="1:6" ht="15" customHeight="1">
      <c r="A764" s="921"/>
      <c r="B764" s="486" t="s">
        <v>556</v>
      </c>
      <c r="C764" s="403">
        <v>15.66</v>
      </c>
      <c r="D764" s="403">
        <v>0.22</v>
      </c>
      <c r="E764" s="122"/>
      <c r="F764" s="475">
        <f>((C764*D764)*2)+0.13*C764</f>
        <v>8.9262000000000015</v>
      </c>
    </row>
    <row r="765" spans="1:6" ht="15" customHeight="1" thickBot="1">
      <c r="A765" s="922"/>
      <c r="B765" s="212" t="s">
        <v>557</v>
      </c>
      <c r="C765" s="868" t="s">
        <v>140</v>
      </c>
      <c r="D765" s="869"/>
      <c r="E765" s="213"/>
      <c r="F765" s="218">
        <f>2.93+2.45</f>
        <v>5.3800000000000008</v>
      </c>
    </row>
    <row r="766" spans="1:6" ht="15" customHeight="1" thickBot="1">
      <c r="A766" s="494"/>
      <c r="B766" s="495" t="s">
        <v>558</v>
      </c>
      <c r="C766" s="496">
        <v>7.36</v>
      </c>
      <c r="D766" s="496">
        <v>3.2</v>
      </c>
      <c r="E766" s="415"/>
      <c r="F766" s="373">
        <f>D766*C766</f>
        <v>23.552000000000003</v>
      </c>
    </row>
    <row r="767" spans="1:6" ht="15" customHeight="1">
      <c r="A767" s="920" t="s">
        <v>559</v>
      </c>
      <c r="B767" s="505" t="s">
        <v>550</v>
      </c>
      <c r="C767" s="950" t="s">
        <v>140</v>
      </c>
      <c r="D767" s="951"/>
      <c r="E767" s="381"/>
      <c r="F767" s="420">
        <f>41.87+20.97+20.97+1.21</f>
        <v>85.02</v>
      </c>
    </row>
    <row r="768" spans="1:6" ht="15" customHeight="1">
      <c r="A768" s="921"/>
      <c r="B768" s="486" t="s">
        <v>560</v>
      </c>
      <c r="C768" s="866" t="s">
        <v>140</v>
      </c>
      <c r="D768" s="867"/>
      <c r="E768" s="122"/>
      <c r="F768" s="475">
        <f>36.72+1.8+30.49+61.82+3.34</f>
        <v>134.16999999999999</v>
      </c>
    </row>
    <row r="769" spans="1:6" ht="25.5">
      <c r="A769" s="921"/>
      <c r="B769" s="486" t="s">
        <v>562</v>
      </c>
      <c r="C769" s="866" t="s">
        <v>140</v>
      </c>
      <c r="D769" s="867"/>
      <c r="E769" s="122"/>
      <c r="F769" s="475">
        <f>30.18+1.45</f>
        <v>31.63</v>
      </c>
    </row>
    <row r="770" spans="1:6" ht="13.5" thickBot="1">
      <c r="A770" s="922"/>
      <c r="B770" s="212" t="s">
        <v>561</v>
      </c>
      <c r="C770" s="868" t="s">
        <v>140</v>
      </c>
      <c r="D770" s="869"/>
      <c r="E770" s="213"/>
      <c r="F770" s="218">
        <f>23.04+24.96+2.49</f>
        <v>50.49</v>
      </c>
    </row>
    <row r="771" spans="1:6">
      <c r="A771" s="921" t="s">
        <v>584</v>
      </c>
      <c r="B771" s="488" t="s">
        <v>585</v>
      </c>
      <c r="C771" s="947" t="s">
        <v>140</v>
      </c>
      <c r="D771" s="948"/>
      <c r="E771" s="367"/>
      <c r="F771" s="104">
        <v>3.73</v>
      </c>
    </row>
    <row r="772" spans="1:6">
      <c r="A772" s="921"/>
      <c r="B772" s="206" t="s">
        <v>586</v>
      </c>
      <c r="C772" s="912" t="s">
        <v>140</v>
      </c>
      <c r="D772" s="913"/>
      <c r="E772" s="123"/>
      <c r="F772" s="113">
        <f>21.18+1.24</f>
        <v>22.419999999999998</v>
      </c>
    </row>
    <row r="773" spans="1:6" ht="13.5" thickBot="1">
      <c r="A773" s="497"/>
      <c r="B773" s="510" t="s">
        <v>587</v>
      </c>
      <c r="C773" s="160">
        <v>6.31</v>
      </c>
      <c r="D773" s="160">
        <f>0.8+0.5</f>
        <v>1.3</v>
      </c>
      <c r="E773" s="123"/>
      <c r="F773" s="113">
        <f>D773*C773</f>
        <v>8.2029999999999994</v>
      </c>
    </row>
    <row r="774" spans="1:6" ht="13.5" customHeight="1" thickBot="1">
      <c r="A774" s="74">
        <v>72125</v>
      </c>
      <c r="B774" s="871" t="s">
        <v>709</v>
      </c>
      <c r="C774" s="871"/>
      <c r="D774" s="871"/>
      <c r="E774" s="75" t="s">
        <v>123</v>
      </c>
      <c r="F774" s="137">
        <f>ROUNDDOWN(F776+F777+F778+F779+F780+F781+F782+F783+F784+F785+F786+F788+F789+F790+F791+F792+F793+F794+F795+F796+F797+F798+F799+F800+F801+F802+F803+F804+F805+F806+F807+F808+F809+F810+F811+F812+F813,2)</f>
        <v>1207.32</v>
      </c>
    </row>
    <row r="775" spans="1:6">
      <c r="A775" s="498" t="s">
        <v>566</v>
      </c>
      <c r="B775" s="118" t="s">
        <v>119</v>
      </c>
      <c r="C775" s="118" t="s">
        <v>120</v>
      </c>
      <c r="D775" s="118" t="s">
        <v>126</v>
      </c>
      <c r="E775" s="119" t="s">
        <v>138</v>
      </c>
      <c r="F775" s="97" t="s">
        <v>13</v>
      </c>
    </row>
    <row r="776" spans="1:6">
      <c r="A776" s="906" t="s">
        <v>394</v>
      </c>
      <c r="B776" s="453" t="s">
        <v>563</v>
      </c>
      <c r="C776" s="403">
        <v>4.3899999999999997</v>
      </c>
      <c r="D776" s="403">
        <v>2.96</v>
      </c>
      <c r="E776" s="117">
        <f>ROUNDDOWN((1.1*2)-2,2)</f>
        <v>0.2</v>
      </c>
      <c r="F776" s="116">
        <f>((C776*D776)-E776)</f>
        <v>12.7944</v>
      </c>
    </row>
    <row r="777" spans="1:6">
      <c r="A777" s="907"/>
      <c r="B777" s="453" t="s">
        <v>564</v>
      </c>
      <c r="C777" s="403">
        <v>3.94</v>
      </c>
      <c r="D777" s="403">
        <v>2.96</v>
      </c>
      <c r="E777" s="117"/>
      <c r="F777" s="116">
        <f>D777*C777</f>
        <v>11.6624</v>
      </c>
    </row>
    <row r="778" spans="1:6">
      <c r="A778" s="906" t="s">
        <v>515</v>
      </c>
      <c r="B778" s="453" t="s">
        <v>563</v>
      </c>
      <c r="C778" s="403">
        <v>4.3899999999999997</v>
      </c>
      <c r="D778" s="403">
        <v>2.96</v>
      </c>
      <c r="E778" s="117">
        <f>ROUNDDOWN((1.1*2)-2,2)</f>
        <v>0.2</v>
      </c>
      <c r="F778" s="116">
        <f>((C778*D778)-E778)</f>
        <v>12.7944</v>
      </c>
    </row>
    <row r="779" spans="1:6">
      <c r="A779" s="907"/>
      <c r="B779" s="453" t="s">
        <v>565</v>
      </c>
      <c r="C779" s="403">
        <v>3.94</v>
      </c>
      <c r="D779" s="403">
        <v>2.96</v>
      </c>
      <c r="E779" s="123"/>
      <c r="F779" s="112">
        <f>D779*C779</f>
        <v>11.6624</v>
      </c>
    </row>
    <row r="780" spans="1:6">
      <c r="A780" s="105"/>
      <c r="B780" s="485" t="s">
        <v>510</v>
      </c>
      <c r="C780" s="489">
        <v>17.7</v>
      </c>
      <c r="D780" s="403">
        <v>2.96</v>
      </c>
      <c r="E780" s="117">
        <f>ROUNDDOWN((1.1*2)-2,2)</f>
        <v>0.2</v>
      </c>
      <c r="F780" s="116">
        <f>(D780*C780)-E780</f>
        <v>52.191999999999993</v>
      </c>
    </row>
    <row r="781" spans="1:6">
      <c r="A781" s="105"/>
      <c r="B781" s="485" t="s">
        <v>489</v>
      </c>
      <c r="C781" s="80">
        <v>19.739999999999998</v>
      </c>
      <c r="D781" s="403">
        <v>2.94</v>
      </c>
      <c r="E781" s="117">
        <f>ROUNDDOWN((1.1*2)+(1.1*2)-2,2)</f>
        <v>2.4</v>
      </c>
      <c r="F781" s="116">
        <f>(D781*C781)-E781</f>
        <v>55.635599999999997</v>
      </c>
    </row>
    <row r="782" spans="1:6">
      <c r="A782" s="105"/>
      <c r="B782" s="485" t="s">
        <v>471</v>
      </c>
      <c r="C782" s="80">
        <v>8.84</v>
      </c>
      <c r="D782" s="80">
        <v>2.6</v>
      </c>
      <c r="E782" s="117"/>
      <c r="F782" s="475">
        <f>D782*C782</f>
        <v>22.984000000000002</v>
      </c>
    </row>
    <row r="783" spans="1:6">
      <c r="A783" s="105"/>
      <c r="B783" s="485" t="s">
        <v>469</v>
      </c>
      <c r="C783" s="80">
        <v>21.44</v>
      </c>
      <c r="D783" s="80">
        <v>2.95</v>
      </c>
      <c r="E783" s="117"/>
      <c r="F783" s="475">
        <f>D783*C783</f>
        <v>63.248000000000005</v>
      </c>
    </row>
    <row r="784" spans="1:6">
      <c r="A784" s="105"/>
      <c r="B784" s="485" t="s">
        <v>470</v>
      </c>
      <c r="C784" s="80">
        <v>21.34</v>
      </c>
      <c r="D784" s="80">
        <v>2.95</v>
      </c>
      <c r="E784" s="117"/>
      <c r="F784" s="475">
        <f>D784*C784</f>
        <v>62.953000000000003</v>
      </c>
    </row>
    <row r="785" spans="1:6">
      <c r="A785" s="105"/>
      <c r="B785" s="485" t="s">
        <v>152</v>
      </c>
      <c r="C785" s="80">
        <v>21.28</v>
      </c>
      <c r="D785" s="80">
        <v>2.95</v>
      </c>
      <c r="E785" s="117"/>
      <c r="F785" s="475">
        <f>D785*C785</f>
        <v>62.77600000000001</v>
      </c>
    </row>
    <row r="786" spans="1:6" ht="13.5" thickBot="1">
      <c r="A786" s="491"/>
      <c r="B786" s="357" t="s">
        <v>197</v>
      </c>
      <c r="C786" s="102">
        <v>21.18</v>
      </c>
      <c r="D786" s="102">
        <v>2.95</v>
      </c>
      <c r="E786" s="368"/>
      <c r="F786" s="218">
        <f>D786*C786</f>
        <v>62.481000000000002</v>
      </c>
    </row>
    <row r="787" spans="1:6" ht="13.5" thickBot="1">
      <c r="A787" s="501" t="s">
        <v>567</v>
      </c>
      <c r="B787" s="499"/>
      <c r="C787" s="414"/>
      <c r="D787" s="414"/>
      <c r="E787" s="374"/>
      <c r="F787" s="500"/>
    </row>
    <row r="788" spans="1:6">
      <c r="A788" s="952" t="s">
        <v>544</v>
      </c>
      <c r="B788" s="955" t="s">
        <v>545</v>
      </c>
      <c r="C788" s="372">
        <v>13.36</v>
      </c>
      <c r="D788" s="92">
        <v>4.33</v>
      </c>
      <c r="E788" s="118">
        <f>ROUNDDOWN((1.1*2)+(1.1*2)+(1.1*2)-2,2)</f>
        <v>4.5999999999999996</v>
      </c>
      <c r="F788" s="370">
        <f>((C788*D788)-E788)</f>
        <v>53.248799999999996</v>
      </c>
    </row>
    <row r="789" spans="1:6">
      <c r="A789" s="953"/>
      <c r="B789" s="936"/>
      <c r="C789" s="489">
        <v>2.74</v>
      </c>
      <c r="D789" s="80">
        <f>4.33-0.54</f>
        <v>3.79</v>
      </c>
      <c r="E789" s="117"/>
      <c r="F789" s="116">
        <f>D789*C789</f>
        <v>10.384600000000001</v>
      </c>
    </row>
    <row r="790" spans="1:6">
      <c r="A790" s="953"/>
      <c r="B790" s="936"/>
      <c r="C790" s="489">
        <v>1.97</v>
      </c>
      <c r="D790" s="80">
        <v>1.57</v>
      </c>
      <c r="E790" s="117"/>
      <c r="F790" s="116">
        <f>D790*C790</f>
        <v>3.0929000000000002</v>
      </c>
    </row>
    <row r="791" spans="1:6">
      <c r="A791" s="953"/>
      <c r="B791" s="485" t="s">
        <v>139</v>
      </c>
      <c r="C791" s="489">
        <f>6.28+0.7+0.7</f>
        <v>7.6800000000000006</v>
      </c>
      <c r="D791" s="80">
        <v>2.98</v>
      </c>
      <c r="E791" s="117"/>
      <c r="F791" s="116">
        <f>D791*C791</f>
        <v>22.886400000000002</v>
      </c>
    </row>
    <row r="792" spans="1:6">
      <c r="A792" s="953"/>
      <c r="B792" s="936" t="s">
        <v>451</v>
      </c>
      <c r="C792" s="80">
        <v>11.99</v>
      </c>
      <c r="D792" s="80">
        <v>3.23</v>
      </c>
      <c r="E792" s="117">
        <f>ROUNDDOWN((1.1*2)+(1.1*2)+(1.1*2)-2,2)</f>
        <v>4.5999999999999996</v>
      </c>
      <c r="F792" s="116">
        <f>((C792*D792)-E792)</f>
        <v>34.127699999999997</v>
      </c>
    </row>
    <row r="793" spans="1:6">
      <c r="A793" s="953"/>
      <c r="B793" s="936"/>
      <c r="C793" s="475">
        <v>2.97</v>
      </c>
      <c r="D793" s="475">
        <f>3.23-2.23</f>
        <v>1</v>
      </c>
      <c r="E793" s="117"/>
      <c r="F793" s="116">
        <f>D793*C793</f>
        <v>2.97</v>
      </c>
    </row>
    <row r="794" spans="1:6">
      <c r="A794" s="953"/>
      <c r="B794" s="936"/>
      <c r="C794" s="80">
        <f>(2.08*2)+1.6</f>
        <v>5.76</v>
      </c>
      <c r="D794" s="80">
        <v>2.95</v>
      </c>
      <c r="E794" s="122"/>
      <c r="F794" s="116">
        <f>D794*C794</f>
        <v>16.992000000000001</v>
      </c>
    </row>
    <row r="795" spans="1:6">
      <c r="A795" s="953"/>
      <c r="B795" s="936"/>
      <c r="C795" s="80">
        <v>4.1100000000000003</v>
      </c>
      <c r="D795" s="80">
        <f>3.23+0.54</f>
        <v>3.77</v>
      </c>
      <c r="E795" s="122"/>
      <c r="F795" s="116">
        <f>D795*C795</f>
        <v>15.494700000000002</v>
      </c>
    </row>
    <row r="796" spans="1:6" ht="13.5" thickBot="1">
      <c r="A796" s="954"/>
      <c r="B796" s="357" t="s">
        <v>549</v>
      </c>
      <c r="C796" s="914" t="s">
        <v>140</v>
      </c>
      <c r="D796" s="914"/>
      <c r="E796" s="213"/>
      <c r="F796" s="371">
        <f>24.7+2.7</f>
        <v>27.4</v>
      </c>
    </row>
    <row r="797" spans="1:6">
      <c r="A797" s="915" t="s">
        <v>548</v>
      </c>
      <c r="B797" s="488" t="s">
        <v>545</v>
      </c>
      <c r="C797" s="493">
        <v>10.08</v>
      </c>
      <c r="D797" s="493">
        <v>3.15</v>
      </c>
      <c r="E797" s="367"/>
      <c r="F797" s="104">
        <f>D797*C797</f>
        <v>31.751999999999999</v>
      </c>
    </row>
    <row r="798" spans="1:6">
      <c r="A798" s="915"/>
      <c r="B798" s="485" t="s">
        <v>139</v>
      </c>
      <c r="C798" s="403">
        <v>12.01</v>
      </c>
      <c r="D798" s="493">
        <v>3.15</v>
      </c>
      <c r="E798" s="122"/>
      <c r="F798" s="104">
        <f>D798*C798</f>
        <v>37.831499999999998</v>
      </c>
    </row>
    <row r="799" spans="1:6">
      <c r="A799" s="915"/>
      <c r="B799" s="486" t="s">
        <v>550</v>
      </c>
      <c r="C799" s="403">
        <v>10.08</v>
      </c>
      <c r="D799" s="493">
        <v>3.15</v>
      </c>
      <c r="E799" s="122"/>
      <c r="F799" s="104">
        <f>D799*C799</f>
        <v>31.751999999999999</v>
      </c>
    </row>
    <row r="800" spans="1:6">
      <c r="A800" s="915"/>
      <c r="B800" s="486" t="s">
        <v>551</v>
      </c>
      <c r="C800" s="403">
        <v>12.01</v>
      </c>
      <c r="D800" s="493">
        <v>3.15</v>
      </c>
      <c r="E800" s="122"/>
      <c r="F800" s="104">
        <f>D800*C800</f>
        <v>37.831499999999998</v>
      </c>
    </row>
    <row r="801" spans="1:6" ht="25.5">
      <c r="A801" s="915"/>
      <c r="B801" s="486" t="s">
        <v>568</v>
      </c>
      <c r="C801" s="403">
        <f>16.35+0.32+0.23</f>
        <v>16.900000000000002</v>
      </c>
      <c r="D801" s="403">
        <v>2.2000000000000002</v>
      </c>
      <c r="E801" s="122"/>
      <c r="F801" s="104">
        <f>D801*C801</f>
        <v>37.180000000000007</v>
      </c>
    </row>
    <row r="802" spans="1:6" ht="25.5">
      <c r="A802" s="915"/>
      <c r="B802" s="486" t="s">
        <v>553</v>
      </c>
      <c r="C802" s="403">
        <v>14.04</v>
      </c>
      <c r="D802" s="403">
        <v>0.22</v>
      </c>
      <c r="E802" s="122"/>
      <c r="F802" s="475">
        <f>(((C802*D802)*2)+0.13*C802)*2</f>
        <v>16.005600000000001</v>
      </c>
    </row>
    <row r="803" spans="1:6" ht="25.5">
      <c r="A803" s="915"/>
      <c r="B803" s="486" t="s">
        <v>552</v>
      </c>
      <c r="C803" s="403">
        <v>1.4</v>
      </c>
      <c r="D803" s="403">
        <f>2.2+0.23</f>
        <v>2.4300000000000002</v>
      </c>
      <c r="E803" s="122"/>
      <c r="F803" s="104">
        <f>D803*C803</f>
        <v>3.4020000000000001</v>
      </c>
    </row>
    <row r="804" spans="1:6">
      <c r="A804" s="915"/>
      <c r="B804" s="486" t="s">
        <v>187</v>
      </c>
      <c r="C804" s="403">
        <f>(0.2*4)*4</f>
        <v>3.2</v>
      </c>
      <c r="D804" s="403">
        <v>2.23</v>
      </c>
      <c r="E804" s="122"/>
      <c r="F804" s="104">
        <f>D804*C804</f>
        <v>7.1360000000000001</v>
      </c>
    </row>
    <row r="805" spans="1:6" ht="25.5">
      <c r="A805" s="915"/>
      <c r="B805" s="486" t="s">
        <v>554</v>
      </c>
      <c r="C805" s="403">
        <f>16.49+1.2</f>
        <v>17.689999999999998</v>
      </c>
      <c r="D805" s="403">
        <v>1</v>
      </c>
      <c r="E805" s="122"/>
      <c r="F805" s="475">
        <f>D805*C805</f>
        <v>17.689999999999998</v>
      </c>
    </row>
    <row r="806" spans="1:6" ht="25.5">
      <c r="A806" s="915"/>
      <c r="B806" s="486" t="s">
        <v>555</v>
      </c>
      <c r="C806" s="866" t="s">
        <v>140</v>
      </c>
      <c r="D806" s="867"/>
      <c r="E806" s="122"/>
      <c r="F806" s="475">
        <v>29.8</v>
      </c>
    </row>
    <row r="807" spans="1:6">
      <c r="A807" s="915"/>
      <c r="B807" s="486" t="s">
        <v>556</v>
      </c>
      <c r="C807" s="403">
        <v>15.66</v>
      </c>
      <c r="D807" s="403">
        <v>0.22</v>
      </c>
      <c r="E807" s="122"/>
      <c r="F807" s="475">
        <f>((C807*D807)*2)+0.13*C807</f>
        <v>8.9262000000000015</v>
      </c>
    </row>
    <row r="808" spans="1:6" ht="26.25" thickBot="1">
      <c r="A808" s="916"/>
      <c r="B808" s="212" t="s">
        <v>557</v>
      </c>
      <c r="C808" s="868" t="s">
        <v>140</v>
      </c>
      <c r="D808" s="869"/>
      <c r="E808" s="213"/>
      <c r="F808" s="218">
        <f>2.93+2.45</f>
        <v>5.3800000000000008</v>
      </c>
    </row>
    <row r="809" spans="1:6" ht="13.5" thickBot="1">
      <c r="A809" s="502"/>
      <c r="B809" s="421" t="s">
        <v>558</v>
      </c>
      <c r="C809" s="496">
        <v>7.36</v>
      </c>
      <c r="D809" s="496">
        <v>3.2</v>
      </c>
      <c r="E809" s="415"/>
      <c r="F809" s="373">
        <f>D809*C809</f>
        <v>23.552000000000003</v>
      </c>
    </row>
    <row r="810" spans="1:6" ht="25.5">
      <c r="A810" s="956" t="s">
        <v>559</v>
      </c>
      <c r="B810" s="488" t="s">
        <v>550</v>
      </c>
      <c r="C810" s="520" t="s">
        <v>140</v>
      </c>
      <c r="D810" s="521"/>
      <c r="E810" s="367"/>
      <c r="F810" s="104">
        <f>41.87+20.97+20.97+1.21</f>
        <v>85.02</v>
      </c>
    </row>
    <row r="811" spans="1:6" ht="25.5">
      <c r="A811" s="915"/>
      <c r="B811" s="486" t="s">
        <v>560</v>
      </c>
      <c r="C811" s="520" t="s">
        <v>140</v>
      </c>
      <c r="D811" s="521"/>
      <c r="E811" s="122"/>
      <c r="F811" s="475">
        <f>36.72+1.8+30.49+61.82+3.34</f>
        <v>134.16999999999999</v>
      </c>
    </row>
    <row r="812" spans="1:6" ht="25.5">
      <c r="A812" s="915"/>
      <c r="B812" s="486" t="s">
        <v>562</v>
      </c>
      <c r="C812" s="866" t="s">
        <v>140</v>
      </c>
      <c r="D812" s="867"/>
      <c r="E812" s="122"/>
      <c r="F812" s="475">
        <f>30.18+1.45</f>
        <v>31.63</v>
      </c>
    </row>
    <row r="813" spans="1:6" ht="13.5" thickBot="1">
      <c r="A813" s="944"/>
      <c r="B813" s="486" t="s">
        <v>561</v>
      </c>
      <c r="C813" s="866" t="s">
        <v>140</v>
      </c>
      <c r="D813" s="867"/>
      <c r="E813" s="122"/>
      <c r="F813" s="475">
        <f>23.04+24.96+2.49</f>
        <v>50.49</v>
      </c>
    </row>
    <row r="814" spans="1:6" ht="26.25" customHeight="1" thickBot="1">
      <c r="A814" s="74">
        <v>88486</v>
      </c>
      <c r="B814" s="871" t="s">
        <v>398</v>
      </c>
      <c r="C814" s="871"/>
      <c r="D814" s="871"/>
      <c r="E814" s="75" t="s">
        <v>123</v>
      </c>
      <c r="F814" s="137">
        <f>ROUNDDOWN(E816+E817+E818+E819+E820+E821+E822+E823+E824+E825,2)</f>
        <v>132.87</v>
      </c>
    </row>
    <row r="815" spans="1:6">
      <c r="A815" s="364"/>
      <c r="B815" s="77" t="s">
        <v>119</v>
      </c>
      <c r="C815" s="77" t="s">
        <v>120</v>
      </c>
      <c r="D815" s="108" t="s">
        <v>121</v>
      </c>
      <c r="E815" s="382" t="s">
        <v>141</v>
      </c>
      <c r="F815" s="116"/>
    </row>
    <row r="816" spans="1:6">
      <c r="A816" s="364"/>
      <c r="B816" s="363" t="s">
        <v>489</v>
      </c>
      <c r="C816" s="342">
        <v>6.02</v>
      </c>
      <c r="D816" s="342">
        <v>3.85</v>
      </c>
      <c r="E816" s="117">
        <f>D816*C816</f>
        <v>23.177</v>
      </c>
      <c r="F816" s="116"/>
    </row>
    <row r="817" spans="1:6">
      <c r="A817" s="365"/>
      <c r="B817" s="363" t="s">
        <v>198</v>
      </c>
      <c r="C817" s="113">
        <v>3.94</v>
      </c>
      <c r="D817" s="342">
        <v>4.3899999999999997</v>
      </c>
      <c r="E817" s="117">
        <f t="shared" ref="E817:E825" si="24">D817*C817</f>
        <v>17.296599999999998</v>
      </c>
      <c r="F817" s="112"/>
    </row>
    <row r="818" spans="1:6">
      <c r="A818" s="365"/>
      <c r="B818" s="363" t="s">
        <v>490</v>
      </c>
      <c r="C818" s="113">
        <v>3.94</v>
      </c>
      <c r="D818" s="113">
        <v>4.3899999999999997</v>
      </c>
      <c r="E818" s="117">
        <f t="shared" si="24"/>
        <v>17.296599999999998</v>
      </c>
      <c r="F818" s="112"/>
    </row>
    <row r="819" spans="1:6">
      <c r="A819" s="365"/>
      <c r="B819" s="363" t="s">
        <v>502</v>
      </c>
      <c r="C819" s="113">
        <v>1.95</v>
      </c>
      <c r="D819" s="113">
        <v>8.9</v>
      </c>
      <c r="E819" s="117">
        <f t="shared" si="24"/>
        <v>17.355</v>
      </c>
      <c r="F819" s="112"/>
    </row>
    <row r="820" spans="1:6">
      <c r="A820" s="365"/>
      <c r="B820" s="363" t="s">
        <v>510</v>
      </c>
      <c r="C820" s="342">
        <v>6.02</v>
      </c>
      <c r="D820" s="342">
        <v>2.83</v>
      </c>
      <c r="E820" s="117">
        <f t="shared" si="24"/>
        <v>17.0366</v>
      </c>
      <c r="F820" s="112"/>
    </row>
    <row r="821" spans="1:6">
      <c r="A821" s="365"/>
      <c r="B821" s="110" t="s">
        <v>432</v>
      </c>
      <c r="C821" s="113">
        <f>6.02-0.13</f>
        <v>5.89</v>
      </c>
      <c r="D821" s="113">
        <v>2.97</v>
      </c>
      <c r="E821" s="117">
        <f t="shared" si="24"/>
        <v>17.493300000000001</v>
      </c>
      <c r="F821" s="112"/>
    </row>
    <row r="822" spans="1:6">
      <c r="A822" s="364"/>
      <c r="B822" s="110" t="s">
        <v>492</v>
      </c>
      <c r="C822" s="439">
        <v>1.6</v>
      </c>
      <c r="D822" s="439">
        <v>3.66</v>
      </c>
      <c r="E822" s="117">
        <f t="shared" si="24"/>
        <v>5.8560000000000008</v>
      </c>
      <c r="F822" s="116"/>
    </row>
    <row r="823" spans="1:6">
      <c r="A823" s="364"/>
      <c r="B823" s="110" t="s">
        <v>493</v>
      </c>
      <c r="C823" s="439">
        <v>1.6</v>
      </c>
      <c r="D823" s="439">
        <v>3.66</v>
      </c>
      <c r="E823" s="117">
        <f t="shared" si="24"/>
        <v>5.8560000000000008</v>
      </c>
      <c r="F823" s="116"/>
    </row>
    <row r="824" spans="1:6">
      <c r="A824" s="364"/>
      <c r="B824" s="110" t="s">
        <v>494</v>
      </c>
      <c r="C824" s="439">
        <v>1.6</v>
      </c>
      <c r="D824" s="439">
        <f>3.66-0.13</f>
        <v>3.5300000000000002</v>
      </c>
      <c r="E824" s="117">
        <f t="shared" si="24"/>
        <v>5.6480000000000006</v>
      </c>
      <c r="F824" s="116"/>
    </row>
    <row r="825" spans="1:6" ht="13.5" thickBot="1">
      <c r="A825" s="441"/>
      <c r="B825" s="300" t="s">
        <v>503</v>
      </c>
      <c r="C825" s="113">
        <v>1.6</v>
      </c>
      <c r="D825" s="113">
        <v>3.66</v>
      </c>
      <c r="E825" s="161">
        <f t="shared" si="24"/>
        <v>5.8560000000000008</v>
      </c>
      <c r="F825" s="112"/>
    </row>
    <row r="826" spans="1:6" ht="27" customHeight="1" thickBot="1">
      <c r="A826" s="74" t="s">
        <v>573</v>
      </c>
      <c r="B826" s="871" t="s">
        <v>532</v>
      </c>
      <c r="C826" s="871"/>
      <c r="D826" s="871"/>
      <c r="E826" s="75" t="s">
        <v>123</v>
      </c>
      <c r="F826" s="137">
        <f>ROUNDDOWN(+F828+F829+F830+F831+F832,2)</f>
        <v>62.6</v>
      </c>
    </row>
    <row r="827" spans="1:6">
      <c r="A827" s="484"/>
      <c r="B827" s="77" t="s">
        <v>119</v>
      </c>
      <c r="C827" s="77" t="s">
        <v>120</v>
      </c>
      <c r="D827" s="108" t="s">
        <v>126</v>
      </c>
      <c r="E827" s="382" t="s">
        <v>386</v>
      </c>
      <c r="F827" s="382" t="s">
        <v>141</v>
      </c>
    </row>
    <row r="828" spans="1:6" ht="25.5">
      <c r="A828" s="943" t="s">
        <v>574</v>
      </c>
      <c r="B828" s="680" t="s">
        <v>575</v>
      </c>
      <c r="C828" s="475">
        <f>2.27+2.89+2.92+3.18</f>
        <v>11.26</v>
      </c>
      <c r="D828" s="475">
        <v>1</v>
      </c>
      <c r="E828" s="475">
        <v>2</v>
      </c>
      <c r="F828" s="116">
        <f>E828*D828*C828</f>
        <v>22.52</v>
      </c>
    </row>
    <row r="829" spans="1:6">
      <c r="A829" s="915"/>
      <c r="B829" s="300" t="s">
        <v>576</v>
      </c>
      <c r="C829" s="113">
        <v>3</v>
      </c>
      <c r="D829" s="113">
        <v>2.2999999999999998</v>
      </c>
      <c r="E829" s="113">
        <v>2</v>
      </c>
      <c r="F829" s="112">
        <f>E829*D829*C829</f>
        <v>13.799999999999999</v>
      </c>
    </row>
    <row r="830" spans="1:6">
      <c r="A830" s="944"/>
      <c r="B830" s="300" t="s">
        <v>578</v>
      </c>
      <c r="C830" s="113">
        <v>1.03</v>
      </c>
      <c r="D830" s="113">
        <v>2</v>
      </c>
      <c r="E830" s="113">
        <v>2</v>
      </c>
      <c r="F830" s="112">
        <f>E830*D830*C830</f>
        <v>4.12</v>
      </c>
    </row>
    <row r="831" spans="1:6">
      <c r="A831" s="484" t="s">
        <v>577</v>
      </c>
      <c r="B831" s="300" t="s">
        <v>576</v>
      </c>
      <c r="C831" s="113">
        <v>3.4</v>
      </c>
      <c r="D831" s="113">
        <v>2.6</v>
      </c>
      <c r="E831" s="113">
        <v>2</v>
      </c>
      <c r="F831" s="112">
        <f>E831*D831*C831</f>
        <v>17.68</v>
      </c>
    </row>
    <row r="832" spans="1:6" ht="13.5" thickBot="1">
      <c r="A832" s="473"/>
      <c r="B832" s="300" t="s">
        <v>578</v>
      </c>
      <c r="C832" s="113">
        <v>1.1200000000000001</v>
      </c>
      <c r="D832" s="113">
        <v>2</v>
      </c>
      <c r="E832" s="113">
        <v>2</v>
      </c>
      <c r="F832" s="112">
        <f>E832*D832*C832</f>
        <v>4.4800000000000004</v>
      </c>
    </row>
    <row r="833" spans="1:13" ht="13.5" thickBot="1">
      <c r="A833" s="73">
        <v>16</v>
      </c>
      <c r="B833" s="890" t="s">
        <v>714</v>
      </c>
      <c r="C833" s="891"/>
      <c r="D833" s="891"/>
      <c r="E833" s="891"/>
      <c r="F833" s="892"/>
    </row>
    <row r="834" spans="1:13" ht="26.25" customHeight="1" thickBot="1">
      <c r="A834" s="74" t="s">
        <v>715</v>
      </c>
      <c r="B834" s="893" t="s">
        <v>716</v>
      </c>
      <c r="C834" s="894"/>
      <c r="D834" s="895"/>
      <c r="E834" s="75" t="s">
        <v>134</v>
      </c>
      <c r="F834" s="76">
        <f>D836</f>
        <v>31.330000000000002</v>
      </c>
    </row>
    <row r="835" spans="1:13">
      <c r="A835" s="455"/>
      <c r="B835" s="901"/>
      <c r="C835" s="902"/>
      <c r="D835" s="678" t="s">
        <v>13</v>
      </c>
      <c r="E835" s="678"/>
      <c r="F835" s="97"/>
      <c r="G835" s="730">
        <v>37.61</v>
      </c>
      <c r="H835" s="731" t="s">
        <v>734</v>
      </c>
      <c r="I835" s="731"/>
      <c r="J835" s="731"/>
      <c r="K835" s="731"/>
      <c r="L835" s="731"/>
      <c r="M835" s="731"/>
    </row>
    <row r="836" spans="1:13" ht="13.5" thickBot="1">
      <c r="A836" s="302"/>
      <c r="B836" s="899" t="s">
        <v>729</v>
      </c>
      <c r="C836" s="900"/>
      <c r="D836" s="153">
        <f>(G835-D839)+3.55</f>
        <v>31.330000000000002</v>
      </c>
      <c r="E836" s="153"/>
      <c r="F836" s="98"/>
      <c r="G836" s="741" t="s">
        <v>736</v>
      </c>
    </row>
    <row r="837" spans="1:13" ht="27.75" customHeight="1" thickBot="1">
      <c r="A837" s="74">
        <v>130110</v>
      </c>
      <c r="B837" s="896" t="s">
        <v>717</v>
      </c>
      <c r="C837" s="897"/>
      <c r="D837" s="898"/>
      <c r="E837" s="75" t="s">
        <v>134</v>
      </c>
      <c r="F837" s="76">
        <f>D839</f>
        <v>9.83</v>
      </c>
    </row>
    <row r="838" spans="1:13">
      <c r="A838" s="82"/>
      <c r="B838" s="678"/>
      <c r="C838" s="712"/>
      <c r="D838" s="678" t="s">
        <v>13</v>
      </c>
      <c r="E838" s="118"/>
      <c r="F838" s="101"/>
    </row>
    <row r="839" spans="1:13" ht="13.5" thickBot="1">
      <c r="A839" s="727"/>
      <c r="B839" s="903" t="s">
        <v>730</v>
      </c>
      <c r="C839" s="904"/>
      <c r="D839" s="728">
        <f>E848+E851</f>
        <v>9.83</v>
      </c>
      <c r="E839" s="88"/>
      <c r="F839" s="78"/>
    </row>
    <row r="840" spans="1:13" ht="51.75" customHeight="1" thickBot="1">
      <c r="A840" s="74" t="s">
        <v>718</v>
      </c>
      <c r="B840" s="893" t="s">
        <v>719</v>
      </c>
      <c r="C840" s="894"/>
      <c r="D840" s="895"/>
      <c r="E840" s="75" t="s">
        <v>123</v>
      </c>
      <c r="F840" s="76">
        <f>D842</f>
        <v>31.330000000000002</v>
      </c>
    </row>
    <row r="841" spans="1:13">
      <c r="A841" s="86"/>
      <c r="B841" s="128"/>
      <c r="C841" s="678"/>
      <c r="D841" s="678" t="s">
        <v>13</v>
      </c>
      <c r="E841" s="93"/>
      <c r="F841" s="89"/>
    </row>
    <row r="842" spans="1:13" ht="13.5" thickBot="1">
      <c r="A842" s="94"/>
      <c r="B842" s="899" t="s">
        <v>729</v>
      </c>
      <c r="C842" s="900"/>
      <c r="D842" s="88">
        <f>(G835-D839)+3.55</f>
        <v>31.330000000000002</v>
      </c>
      <c r="E842" s="87"/>
      <c r="F842" s="95"/>
    </row>
    <row r="843" spans="1:13" ht="13.5" thickBot="1">
      <c r="A843" s="74">
        <v>200202</v>
      </c>
      <c r="B843" s="893" t="s">
        <v>720</v>
      </c>
      <c r="C843" s="894"/>
      <c r="D843" s="895"/>
      <c r="E843" s="75" t="s">
        <v>17</v>
      </c>
      <c r="F843" s="76">
        <f>E845</f>
        <v>18.32</v>
      </c>
    </row>
    <row r="844" spans="1:13">
      <c r="A844" s="311"/>
      <c r="B844" s="678"/>
      <c r="C844" s="678"/>
      <c r="D844" s="84"/>
      <c r="E844" s="678" t="s">
        <v>13</v>
      </c>
      <c r="F844" s="310"/>
    </row>
    <row r="845" spans="1:13" ht="13.5" thickBot="1">
      <c r="A845" s="311"/>
      <c r="B845" s="679" t="s">
        <v>731</v>
      </c>
      <c r="C845" s="683"/>
      <c r="D845" s="683"/>
      <c r="E845" s="116">
        <f>4.66+13.66</f>
        <v>18.32</v>
      </c>
      <c r="F845" s="310"/>
    </row>
    <row r="846" spans="1:13" ht="54.75" customHeight="1" thickBot="1">
      <c r="A846" s="74">
        <v>200253</v>
      </c>
      <c r="B846" s="893" t="s">
        <v>721</v>
      </c>
      <c r="C846" s="894"/>
      <c r="D846" s="895"/>
      <c r="E846" s="75" t="s">
        <v>134</v>
      </c>
      <c r="F846" s="76">
        <f>E848</f>
        <v>8.8000000000000007</v>
      </c>
    </row>
    <row r="847" spans="1:13">
      <c r="A847" s="311"/>
      <c r="B847" s="678"/>
      <c r="C847" s="683"/>
      <c r="D847" s="683"/>
      <c r="E847" s="678" t="s">
        <v>13</v>
      </c>
      <c r="F847" s="310"/>
    </row>
    <row r="848" spans="1:13" ht="27.75" customHeight="1" thickBot="1">
      <c r="A848" s="311"/>
      <c r="B848" s="903" t="s">
        <v>732</v>
      </c>
      <c r="C848" s="905"/>
      <c r="D848" s="904"/>
      <c r="E848" s="116">
        <f>2.09+5.7+1.01</f>
        <v>8.8000000000000007</v>
      </c>
      <c r="F848" s="310"/>
    </row>
    <row r="849" spans="1:6" ht="54.75" customHeight="1" thickBot="1">
      <c r="A849" s="74">
        <v>200254</v>
      </c>
      <c r="B849" s="893" t="s">
        <v>733</v>
      </c>
      <c r="C849" s="894"/>
      <c r="D849" s="895"/>
      <c r="E849" s="75" t="s">
        <v>134</v>
      </c>
      <c r="F849" s="76">
        <f>E851</f>
        <v>1.03</v>
      </c>
    </row>
    <row r="850" spans="1:6">
      <c r="A850" s="311"/>
      <c r="B850" s="678"/>
      <c r="C850" s="683"/>
      <c r="D850" s="683"/>
      <c r="E850" s="678" t="s">
        <v>13</v>
      </c>
      <c r="F850" s="310"/>
    </row>
    <row r="851" spans="1:6" ht="27.75" customHeight="1" thickBot="1">
      <c r="A851" s="729"/>
      <c r="B851" s="884" t="s">
        <v>732</v>
      </c>
      <c r="C851" s="885"/>
      <c r="D851" s="886"/>
      <c r="E851" s="112">
        <v>1.03</v>
      </c>
      <c r="F851" s="95"/>
    </row>
    <row r="852" spans="1:6" ht="13.5" thickBot="1">
      <c r="A852" s="210">
        <v>17</v>
      </c>
      <c r="B852" s="1093" t="s">
        <v>170</v>
      </c>
      <c r="C852" s="891"/>
      <c r="D852" s="891"/>
      <c r="E852" s="891"/>
      <c r="F852" s="892"/>
    </row>
    <row r="853" spans="1:6" ht="13.5" thickBot="1">
      <c r="A853" s="74">
        <v>210315</v>
      </c>
      <c r="B853" s="871" t="s">
        <v>80</v>
      </c>
      <c r="C853" s="871"/>
      <c r="D853" s="871"/>
      <c r="E853" s="75" t="s">
        <v>69</v>
      </c>
      <c r="F853" s="137">
        <f>C855</f>
        <v>2</v>
      </c>
    </row>
    <row r="854" spans="1:6">
      <c r="A854" s="135"/>
      <c r="B854" s="128" t="s">
        <v>119</v>
      </c>
      <c r="C854" s="115" t="s">
        <v>23</v>
      </c>
      <c r="D854" s="115"/>
      <c r="E854" s="115"/>
      <c r="F854" s="133"/>
    </row>
    <row r="855" spans="1:6" ht="13.5" thickBot="1">
      <c r="A855" s="135"/>
      <c r="B855" s="300" t="s">
        <v>445</v>
      </c>
      <c r="C855" s="115">
        <v>2</v>
      </c>
      <c r="D855" s="115"/>
      <c r="E855" s="115"/>
      <c r="F855" s="133"/>
    </row>
    <row r="856" spans="1:6" ht="13.5" thickBot="1">
      <c r="A856" s="74" t="s">
        <v>582</v>
      </c>
      <c r="B856" s="871" t="s">
        <v>581</v>
      </c>
      <c r="C856" s="871"/>
      <c r="D856" s="871"/>
      <c r="E856" s="75" t="s">
        <v>17</v>
      </c>
      <c r="F856" s="137">
        <f>C858</f>
        <v>19.100000000000001</v>
      </c>
    </row>
    <row r="857" spans="1:6">
      <c r="A857" s="135"/>
      <c r="B857" s="128" t="s">
        <v>119</v>
      </c>
      <c r="C857" s="115" t="s">
        <v>23</v>
      </c>
      <c r="D857" s="115"/>
      <c r="E857" s="115"/>
      <c r="F857" s="133"/>
    </row>
    <row r="858" spans="1:6" ht="13.5" thickBot="1">
      <c r="A858" s="136"/>
      <c r="B858" s="131" t="s">
        <v>583</v>
      </c>
      <c r="C858" s="131">
        <v>19.100000000000001</v>
      </c>
      <c r="D858" s="131"/>
      <c r="E858" s="131"/>
      <c r="F858" s="111"/>
    </row>
    <row r="859" spans="1:6" ht="27.75" customHeight="1" thickBot="1">
      <c r="A859" s="74" t="s">
        <v>739</v>
      </c>
      <c r="B859" s="871" t="s">
        <v>745</v>
      </c>
      <c r="C859" s="871"/>
      <c r="D859" s="871"/>
      <c r="E859" s="75" t="s">
        <v>69</v>
      </c>
      <c r="F859" s="137">
        <f>D861</f>
        <v>1</v>
      </c>
    </row>
    <row r="860" spans="1:6" ht="15" customHeight="1">
      <c r="A860" s="1065" t="s">
        <v>119</v>
      </c>
      <c r="B860" s="1097"/>
      <c r="C860" s="1066"/>
      <c r="D860" s="115" t="s">
        <v>388</v>
      </c>
      <c r="E860" s="115"/>
      <c r="F860" s="115"/>
    </row>
    <row r="861" spans="1:6" ht="27" customHeight="1" thickBot="1">
      <c r="A861" s="1094" t="s">
        <v>750</v>
      </c>
      <c r="B861" s="1095"/>
      <c r="C861" s="1096"/>
      <c r="D861" s="131">
        <v>1</v>
      </c>
      <c r="E861" s="131"/>
      <c r="F861" s="131"/>
    </row>
    <row r="862" spans="1:6" ht="13.5" thickBot="1">
      <c r="A862" s="73">
        <v>18</v>
      </c>
      <c r="B862" s="890" t="s">
        <v>12</v>
      </c>
      <c r="C862" s="891"/>
      <c r="D862" s="891"/>
      <c r="E862" s="891"/>
      <c r="F862" s="892"/>
    </row>
    <row r="863" spans="1:6" s="81" customFormat="1" ht="13.5" thickBot="1">
      <c r="A863" s="74">
        <v>9537</v>
      </c>
      <c r="B863" s="871" t="s">
        <v>248</v>
      </c>
      <c r="C863" s="871"/>
      <c r="D863" s="871"/>
      <c r="E863" s="75" t="s">
        <v>123</v>
      </c>
      <c r="F863" s="137">
        <f>E865</f>
        <v>1173.53</v>
      </c>
    </row>
    <row r="864" spans="1:6">
      <c r="A864" s="134"/>
      <c r="B864" s="128" t="s">
        <v>119</v>
      </c>
      <c r="C864" s="77" t="s">
        <v>120</v>
      </c>
      <c r="D864" s="84" t="s">
        <v>121</v>
      </c>
      <c r="E864" s="77" t="s">
        <v>13</v>
      </c>
      <c r="F864" s="319"/>
    </row>
    <row r="865" spans="1:6" ht="26.25" thickBot="1">
      <c r="A865" s="135"/>
      <c r="B865" s="403" t="s">
        <v>529</v>
      </c>
      <c r="C865" s="957" t="s">
        <v>140</v>
      </c>
      <c r="D865" s="958"/>
      <c r="E865" s="80">
        <v>1173.53</v>
      </c>
      <c r="F865" s="320"/>
    </row>
    <row r="866" spans="1:6" ht="26.25" customHeight="1" thickBot="1">
      <c r="A866" s="74" t="s">
        <v>247</v>
      </c>
      <c r="B866" s="871" t="s">
        <v>249</v>
      </c>
      <c r="C866" s="871"/>
      <c r="D866" s="871"/>
      <c r="E866" s="75" t="s">
        <v>17</v>
      </c>
      <c r="F866" s="137">
        <f>ROUNDDOWN(F868,2)</f>
        <v>4.3</v>
      </c>
    </row>
    <row r="867" spans="1:6">
      <c r="A867" s="134"/>
      <c r="B867" s="901" t="s">
        <v>119</v>
      </c>
      <c r="C867" s="902"/>
      <c r="D867" s="77" t="s">
        <v>23</v>
      </c>
      <c r="E867" s="77" t="s">
        <v>126</v>
      </c>
      <c r="F867" s="319" t="s">
        <v>13</v>
      </c>
    </row>
    <row r="868" spans="1:6" ht="15">
      <c r="A868" s="135"/>
      <c r="B868" s="1044" t="s">
        <v>527</v>
      </c>
      <c r="C868" s="1045"/>
      <c r="D868" s="80">
        <v>1</v>
      </c>
      <c r="E868" s="80">
        <v>4.3</v>
      </c>
      <c r="F868" s="144">
        <f>ROUNDDOWN(E868*D868,2)</f>
        <v>4.3</v>
      </c>
    </row>
    <row r="869" spans="1:6">
      <c r="A869" s="135"/>
      <c r="B869" s="128"/>
      <c r="C869" s="115"/>
      <c r="D869" s="115"/>
      <c r="E869" s="115"/>
      <c r="F869" s="133"/>
    </row>
    <row r="870" spans="1:6">
      <c r="A870" s="135"/>
      <c r="B870" s="115"/>
      <c r="C870" s="115"/>
      <c r="D870" s="115"/>
      <c r="E870" s="115"/>
      <c r="F870" s="133"/>
    </row>
    <row r="871" spans="1:6" ht="39" customHeight="1" thickBot="1">
      <c r="A871" s="1050"/>
      <c r="B871" s="1051"/>
      <c r="C871" s="1051"/>
      <c r="D871" s="1051"/>
      <c r="E871" s="1051"/>
      <c r="F871" s="1052"/>
    </row>
  </sheetData>
  <mergeCells count="475">
    <mergeCell ref="B852:F852"/>
    <mergeCell ref="B853:D853"/>
    <mergeCell ref="B856:D856"/>
    <mergeCell ref="B859:D859"/>
    <mergeCell ref="A861:C861"/>
    <mergeCell ref="A860:C860"/>
    <mergeCell ref="A317:B317"/>
    <mergeCell ref="A318:B318"/>
    <mergeCell ref="C303:D303"/>
    <mergeCell ref="A304:B304"/>
    <mergeCell ref="A305:B305"/>
    <mergeCell ref="A306:B306"/>
    <mergeCell ref="A307:B307"/>
    <mergeCell ref="A316:B316"/>
    <mergeCell ref="A314:B314"/>
    <mergeCell ref="B319:D319"/>
    <mergeCell ref="A315:B315"/>
    <mergeCell ref="A356:A357"/>
    <mergeCell ref="A364:A365"/>
    <mergeCell ref="B369:D369"/>
    <mergeCell ref="B576:D576"/>
    <mergeCell ref="A673:A681"/>
    <mergeCell ref="B561:D561"/>
    <mergeCell ref="B543:D543"/>
    <mergeCell ref="A85:B85"/>
    <mergeCell ref="A86:B86"/>
    <mergeCell ref="C298:D298"/>
    <mergeCell ref="B313:D313"/>
    <mergeCell ref="B105:D105"/>
    <mergeCell ref="B106:D106"/>
    <mergeCell ref="B107:D107"/>
    <mergeCell ref="B259:D259"/>
    <mergeCell ref="B110:D110"/>
    <mergeCell ref="B117:C117"/>
    <mergeCell ref="B229:D229"/>
    <mergeCell ref="B203:D203"/>
    <mergeCell ref="B120:F120"/>
    <mergeCell ref="B121:F121"/>
    <mergeCell ref="B200:D200"/>
    <mergeCell ref="A103:B103"/>
    <mergeCell ref="A100:D100"/>
    <mergeCell ref="B160:F160"/>
    <mergeCell ref="B174:D174"/>
    <mergeCell ref="B99:D99"/>
    <mergeCell ref="B116:D116"/>
    <mergeCell ref="B255:D255"/>
    <mergeCell ref="B261:D261"/>
    <mergeCell ref="B263:F263"/>
    <mergeCell ref="G120:K120"/>
    <mergeCell ref="G121:K121"/>
    <mergeCell ref="B122:F122"/>
    <mergeCell ref="H123:K123"/>
    <mergeCell ref="H122:K122"/>
    <mergeCell ref="B475:D475"/>
    <mergeCell ref="B476:D476"/>
    <mergeCell ref="B477:D477"/>
    <mergeCell ref="B478:D478"/>
    <mergeCell ref="B326:F326"/>
    <mergeCell ref="B327:D327"/>
    <mergeCell ref="A350:B351"/>
    <mergeCell ref="B309:D309"/>
    <mergeCell ref="A235:A238"/>
    <mergeCell ref="B299:D299"/>
    <mergeCell ref="B294:D294"/>
    <mergeCell ref="A266:A267"/>
    <mergeCell ref="B250:D250"/>
    <mergeCell ref="B380:D380"/>
    <mergeCell ref="B379:F379"/>
    <mergeCell ref="B385:D385"/>
    <mergeCell ref="B366:D366"/>
    <mergeCell ref="A231:A233"/>
    <mergeCell ref="B254:F254"/>
    <mergeCell ref="A707:A710"/>
    <mergeCell ref="C708:D708"/>
    <mergeCell ref="A715:A718"/>
    <mergeCell ref="C709:D709"/>
    <mergeCell ref="A685:A696"/>
    <mergeCell ref="C681:D681"/>
    <mergeCell ref="B544:D544"/>
    <mergeCell ref="B545:D545"/>
    <mergeCell ref="B546:D546"/>
    <mergeCell ref="B556:D556"/>
    <mergeCell ref="B557:D557"/>
    <mergeCell ref="B558:D558"/>
    <mergeCell ref="B559:D559"/>
    <mergeCell ref="B560:D560"/>
    <mergeCell ref="B583:D583"/>
    <mergeCell ref="B579:D579"/>
    <mergeCell ref="B574:D574"/>
    <mergeCell ref="B578:D578"/>
    <mergeCell ref="B577:D577"/>
    <mergeCell ref="B571:D571"/>
    <mergeCell ref="B575:D575"/>
    <mergeCell ref="B564:D564"/>
    <mergeCell ref="B565:D565"/>
    <mergeCell ref="B566:D566"/>
    <mergeCell ref="B814:D814"/>
    <mergeCell ref="A767:A770"/>
    <mergeCell ref="C767:D767"/>
    <mergeCell ref="C768:D768"/>
    <mergeCell ref="A719:A722"/>
    <mergeCell ref="B792:B795"/>
    <mergeCell ref="A732:A734"/>
    <mergeCell ref="C733:D733"/>
    <mergeCell ref="A742:A750"/>
    <mergeCell ref="A736:A738"/>
    <mergeCell ref="B705:D705"/>
    <mergeCell ref="B606:D606"/>
    <mergeCell ref="B611:C611"/>
    <mergeCell ref="B673:B675"/>
    <mergeCell ref="C664:D664"/>
    <mergeCell ref="B582:D582"/>
    <mergeCell ref="B608:D608"/>
    <mergeCell ref="C698:D698"/>
    <mergeCell ref="C699:D699"/>
    <mergeCell ref="C700:D700"/>
    <mergeCell ref="C650:D650"/>
    <mergeCell ref="C696:D696"/>
    <mergeCell ref="B584:F584"/>
    <mergeCell ref="C645:D645"/>
    <mergeCell ref="C665:D665"/>
    <mergeCell ref="C669:D669"/>
    <mergeCell ref="A682:A684"/>
    <mergeCell ref="B615:C615"/>
    <mergeCell ref="B609:C609"/>
    <mergeCell ref="B580:D580"/>
    <mergeCell ref="B589:D589"/>
    <mergeCell ref="B581:D581"/>
    <mergeCell ref="B585:D585"/>
    <mergeCell ref="B586:D586"/>
    <mergeCell ref="C641:D641"/>
    <mergeCell ref="B647:D647"/>
    <mergeCell ref="B661:D661"/>
    <mergeCell ref="C640:D640"/>
    <mergeCell ref="B587:D587"/>
    <mergeCell ref="B677:B680"/>
    <mergeCell ref="A653:A656"/>
    <mergeCell ref="B614:C614"/>
    <mergeCell ref="B605:D605"/>
    <mergeCell ref="B596:D596"/>
    <mergeCell ref="A657:A658"/>
    <mergeCell ref="A659:A660"/>
    <mergeCell ref="A663:A665"/>
    <mergeCell ref="A667:A669"/>
    <mergeCell ref="C232:D232"/>
    <mergeCell ref="C394:D394"/>
    <mergeCell ref="A353:B353"/>
    <mergeCell ref="A239:A240"/>
    <mergeCell ref="C363:D363"/>
    <mergeCell ref="C368:D368"/>
    <mergeCell ref="A347:A349"/>
    <mergeCell ref="B257:D257"/>
    <mergeCell ref="A241:A242"/>
    <mergeCell ref="A243:B243"/>
    <mergeCell ref="A244:B244"/>
    <mergeCell ref="C340:D340"/>
    <mergeCell ref="B562:D562"/>
    <mergeCell ref="B563:D563"/>
    <mergeCell ref="B572:D572"/>
    <mergeCell ref="B573:D573"/>
    <mergeCell ref="B570:D570"/>
    <mergeCell ref="B567:D567"/>
    <mergeCell ref="B568:D568"/>
    <mergeCell ref="B569:D569"/>
    <mergeCell ref="B538:D538"/>
    <mergeCell ref="B539:D539"/>
    <mergeCell ref="B540:D540"/>
    <mergeCell ref="B541:D541"/>
    <mergeCell ref="B542:D542"/>
    <mergeCell ref="B554:D554"/>
    <mergeCell ref="B555:D555"/>
    <mergeCell ref="B550:D550"/>
    <mergeCell ref="B551:D551"/>
    <mergeCell ref="B552:D552"/>
    <mergeCell ref="B553:D553"/>
    <mergeCell ref="B547:D547"/>
    <mergeCell ref="B548:D548"/>
    <mergeCell ref="B549:D549"/>
    <mergeCell ref="A871:F871"/>
    <mergeCell ref="B457:D457"/>
    <mergeCell ref="B458:D458"/>
    <mergeCell ref="B459:D459"/>
    <mergeCell ref="B463:D463"/>
    <mergeCell ref="B465:D465"/>
    <mergeCell ref="B460:D460"/>
    <mergeCell ref="B464:D464"/>
    <mergeCell ref="B466:D466"/>
    <mergeCell ref="B607:F607"/>
    <mergeCell ref="C651:D651"/>
    <mergeCell ref="B604:D604"/>
    <mergeCell ref="B595:D595"/>
    <mergeCell ref="B597:D597"/>
    <mergeCell ref="B599:D599"/>
    <mergeCell ref="C865:D865"/>
    <mergeCell ref="B863:D863"/>
    <mergeCell ref="B866:D866"/>
    <mergeCell ref="B610:C610"/>
    <mergeCell ref="C694:D694"/>
    <mergeCell ref="B826:D826"/>
    <mergeCell ref="B490:D490"/>
    <mergeCell ref="B474:D474"/>
    <mergeCell ref="B867:C867"/>
    <mergeCell ref="B190:F190"/>
    <mergeCell ref="B191:D191"/>
    <mergeCell ref="B193:D193"/>
    <mergeCell ref="B41:C41"/>
    <mergeCell ref="B42:C42"/>
    <mergeCell ref="C32:D32"/>
    <mergeCell ref="C33:D33"/>
    <mergeCell ref="B528:D528"/>
    <mergeCell ref="B388:D388"/>
    <mergeCell ref="B472:D472"/>
    <mergeCell ref="A323:B323"/>
    <mergeCell ref="A324:B324"/>
    <mergeCell ref="B206:D206"/>
    <mergeCell ref="B208:D208"/>
    <mergeCell ref="B210:D210"/>
    <mergeCell ref="C233:D233"/>
    <mergeCell ref="C339:D339"/>
    <mergeCell ref="C245:D245"/>
    <mergeCell ref="B264:D264"/>
    <mergeCell ref="B335:F335"/>
    <mergeCell ref="B336:D336"/>
    <mergeCell ref="B293:F293"/>
    <mergeCell ref="B197:D197"/>
    <mergeCell ref="B258:F258"/>
    <mergeCell ref="B529:D529"/>
    <mergeCell ref="B530:D530"/>
    <mergeCell ref="B526:D526"/>
    <mergeCell ref="B527:D527"/>
    <mergeCell ref="B521:D521"/>
    <mergeCell ref="B520:D520"/>
    <mergeCell ref="B515:D515"/>
    <mergeCell ref="B516:D516"/>
    <mergeCell ref="B537:D537"/>
    <mergeCell ref="B533:D533"/>
    <mergeCell ref="B534:D534"/>
    <mergeCell ref="B535:D535"/>
    <mergeCell ref="B536:D536"/>
    <mergeCell ref="A434:A435"/>
    <mergeCell ref="A436:A437"/>
    <mergeCell ref="A438:A439"/>
    <mergeCell ref="A440:A441"/>
    <mergeCell ref="C354:D354"/>
    <mergeCell ref="B376:D376"/>
    <mergeCell ref="B868:C868"/>
    <mergeCell ref="B471:D471"/>
    <mergeCell ref="B519:D519"/>
    <mergeCell ref="C634:D634"/>
    <mergeCell ref="B468:D468"/>
    <mergeCell ref="B399:D399"/>
    <mergeCell ref="B443:D443"/>
    <mergeCell ref="B862:F862"/>
    <mergeCell ref="B591:D591"/>
    <mergeCell ref="B592:D592"/>
    <mergeCell ref="B523:D523"/>
    <mergeCell ref="B524:D524"/>
    <mergeCell ref="B616:D616"/>
    <mergeCell ref="B600:D600"/>
    <mergeCell ref="B601:D601"/>
    <mergeCell ref="B602:D602"/>
    <mergeCell ref="B378:C378"/>
    <mergeCell ref="B358:D358"/>
    <mergeCell ref="B153:F153"/>
    <mergeCell ref="B109:F109"/>
    <mergeCell ref="A101:B101"/>
    <mergeCell ref="A102:B102"/>
    <mergeCell ref="A74:B74"/>
    <mergeCell ref="C310:D310"/>
    <mergeCell ref="C311:D311"/>
    <mergeCell ref="A342:A345"/>
    <mergeCell ref="C312:D312"/>
    <mergeCell ref="B288:D288"/>
    <mergeCell ref="B322:D322"/>
    <mergeCell ref="B145:D145"/>
    <mergeCell ref="B186:D186"/>
    <mergeCell ref="A75:B75"/>
    <mergeCell ref="C75:D75"/>
    <mergeCell ref="B91:D91"/>
    <mergeCell ref="A76:B76"/>
    <mergeCell ref="C76:D76"/>
    <mergeCell ref="A77:B77"/>
    <mergeCell ref="A78:B78"/>
    <mergeCell ref="A79:B79"/>
    <mergeCell ref="A80:B80"/>
    <mergeCell ref="A81:B81"/>
    <mergeCell ref="B154:D154"/>
    <mergeCell ref="E1:F1"/>
    <mergeCell ref="B161:F161"/>
    <mergeCell ref="B162:D162"/>
    <mergeCell ref="A17:A18"/>
    <mergeCell ref="B1:D1"/>
    <mergeCell ref="A5:F5"/>
    <mergeCell ref="A6:F6"/>
    <mergeCell ref="A2:D3"/>
    <mergeCell ref="B7:D7"/>
    <mergeCell ref="B8:F8"/>
    <mergeCell ref="E2:F2"/>
    <mergeCell ref="E3:F3"/>
    <mergeCell ref="B9:D9"/>
    <mergeCell ref="A4:D4"/>
    <mergeCell ref="E4:F4"/>
    <mergeCell ref="B12:D12"/>
    <mergeCell ref="B40:D40"/>
    <mergeCell ref="B73:D73"/>
    <mergeCell ref="A22:A23"/>
    <mergeCell ref="A24:A25"/>
    <mergeCell ref="A26:A27"/>
    <mergeCell ref="A28:A29"/>
    <mergeCell ref="A35:B35"/>
    <mergeCell ref="A36:B36"/>
    <mergeCell ref="B486:D486"/>
    <mergeCell ref="B479:D479"/>
    <mergeCell ref="B480:D480"/>
    <mergeCell ref="C396:D396"/>
    <mergeCell ref="C403:D403"/>
    <mergeCell ref="B467:D467"/>
    <mergeCell ref="C401:D401"/>
    <mergeCell ref="B416:D416"/>
    <mergeCell ref="B409:D409"/>
    <mergeCell ref="B413:D413"/>
    <mergeCell ref="B406:D406"/>
    <mergeCell ref="B485:D485"/>
    <mergeCell ref="B469:D469"/>
    <mergeCell ref="B473:D473"/>
    <mergeCell ref="B470:D470"/>
    <mergeCell ref="B423:D423"/>
    <mergeCell ref="B456:F456"/>
    <mergeCell ref="B483:D483"/>
    <mergeCell ref="B484:D484"/>
    <mergeCell ref="B482:D482"/>
    <mergeCell ref="A425:A426"/>
    <mergeCell ref="A31:B31"/>
    <mergeCell ref="A32:B32"/>
    <mergeCell ref="A33:B33"/>
    <mergeCell ref="B131:D131"/>
    <mergeCell ref="B137:D137"/>
    <mergeCell ref="A338:A340"/>
    <mergeCell ref="A352:B352"/>
    <mergeCell ref="C330:D330"/>
    <mergeCell ref="A311:A312"/>
    <mergeCell ref="B213:D213"/>
    <mergeCell ref="A272:A273"/>
    <mergeCell ref="A274:A275"/>
    <mergeCell ref="A276:A277"/>
    <mergeCell ref="A278:A279"/>
    <mergeCell ref="B281:D281"/>
    <mergeCell ref="B284:D284"/>
    <mergeCell ref="A247:A249"/>
    <mergeCell ref="B217:D217"/>
    <mergeCell ref="B220:D220"/>
    <mergeCell ref="B223:D223"/>
    <mergeCell ref="B226:D226"/>
    <mergeCell ref="B168:D168"/>
    <mergeCell ref="A34:B34"/>
    <mergeCell ref="A37:B37"/>
    <mergeCell ref="A38:B38"/>
    <mergeCell ref="A39:B39"/>
    <mergeCell ref="B118:C118"/>
    <mergeCell ref="B119:C119"/>
    <mergeCell ref="B55:D55"/>
    <mergeCell ref="B52:D52"/>
    <mergeCell ref="B87:D87"/>
    <mergeCell ref="B180:D180"/>
    <mergeCell ref="B47:D47"/>
    <mergeCell ref="B43:D43"/>
    <mergeCell ref="C72:D72"/>
    <mergeCell ref="C71:D71"/>
    <mergeCell ref="A48:B48"/>
    <mergeCell ref="A49:B49"/>
    <mergeCell ref="A50:B50"/>
    <mergeCell ref="A51:B51"/>
    <mergeCell ref="A82:B82"/>
    <mergeCell ref="B61:D61"/>
    <mergeCell ref="B67:D67"/>
    <mergeCell ref="B108:D108"/>
    <mergeCell ref="B98:F98"/>
    <mergeCell ref="B83:D83"/>
    <mergeCell ref="A84:B84"/>
    <mergeCell ref="A828:A830"/>
    <mergeCell ref="C643:D643"/>
    <mergeCell ref="C701:D701"/>
    <mergeCell ref="C771:D771"/>
    <mergeCell ref="A751:A753"/>
    <mergeCell ref="A754:A765"/>
    <mergeCell ref="C763:D763"/>
    <mergeCell ref="C765:D765"/>
    <mergeCell ref="A702:A703"/>
    <mergeCell ref="C702:D702"/>
    <mergeCell ref="C703:D703"/>
    <mergeCell ref="A771:A772"/>
    <mergeCell ref="A788:A796"/>
    <mergeCell ref="B788:B790"/>
    <mergeCell ref="B774:D774"/>
    <mergeCell ref="C808:D808"/>
    <mergeCell ref="A810:A813"/>
    <mergeCell ref="C812:D812"/>
    <mergeCell ref="C813:D813"/>
    <mergeCell ref="B742:B744"/>
    <mergeCell ref="B746:B749"/>
    <mergeCell ref="C750:D750"/>
    <mergeCell ref="C738:D738"/>
    <mergeCell ref="A711:A714"/>
    <mergeCell ref="A698:A701"/>
    <mergeCell ref="B593:D593"/>
    <mergeCell ref="B588:D588"/>
    <mergeCell ref="B598:D598"/>
    <mergeCell ref="B590:D590"/>
    <mergeCell ref="B594:D594"/>
    <mergeCell ref="B487:D487"/>
    <mergeCell ref="B489:D489"/>
    <mergeCell ref="B491:D491"/>
    <mergeCell ref="B492:D492"/>
    <mergeCell ref="B493:D493"/>
    <mergeCell ref="A618:A631"/>
    <mergeCell ref="B613:C613"/>
    <mergeCell ref="B612:C612"/>
    <mergeCell ref="B603:D603"/>
    <mergeCell ref="B499:D499"/>
    <mergeCell ref="B488:D488"/>
    <mergeCell ref="A610:A614"/>
    <mergeCell ref="B506:D506"/>
    <mergeCell ref="B531:D531"/>
    <mergeCell ref="B532:D532"/>
    <mergeCell ref="B513:D513"/>
    <mergeCell ref="B514:D514"/>
    <mergeCell ref="B518:D518"/>
    <mergeCell ref="B851:D851"/>
    <mergeCell ref="A325:B325"/>
    <mergeCell ref="B95:D95"/>
    <mergeCell ref="B833:F833"/>
    <mergeCell ref="B834:D834"/>
    <mergeCell ref="B840:D840"/>
    <mergeCell ref="B843:D843"/>
    <mergeCell ref="B846:D846"/>
    <mergeCell ref="B849:D849"/>
    <mergeCell ref="B837:D837"/>
    <mergeCell ref="B836:C836"/>
    <mergeCell ref="B835:C835"/>
    <mergeCell ref="B839:C839"/>
    <mergeCell ref="B842:C842"/>
    <mergeCell ref="B848:D848"/>
    <mergeCell ref="A778:A779"/>
    <mergeCell ref="C769:D769"/>
    <mergeCell ref="B461:D461"/>
    <mergeCell ref="B462:D462"/>
    <mergeCell ref="C772:D772"/>
    <mergeCell ref="C796:D796"/>
    <mergeCell ref="A797:A808"/>
    <mergeCell ref="A776:A777"/>
    <mergeCell ref="A649:A652"/>
    <mergeCell ref="C806:D806"/>
    <mergeCell ref="C770:D770"/>
    <mergeCell ref="C734:D734"/>
    <mergeCell ref="B494:D494"/>
    <mergeCell ref="B525:D525"/>
    <mergeCell ref="B495:D495"/>
    <mergeCell ref="B497:D497"/>
    <mergeCell ref="B498:D498"/>
    <mergeCell ref="B632:D632"/>
    <mergeCell ref="B508:D508"/>
    <mergeCell ref="B507:D507"/>
    <mergeCell ref="B509:D509"/>
    <mergeCell ref="B510:D510"/>
    <mergeCell ref="B511:D511"/>
    <mergeCell ref="B512:D512"/>
    <mergeCell ref="B500:D500"/>
    <mergeCell ref="B501:D501"/>
    <mergeCell ref="B517:F517"/>
    <mergeCell ref="B502:D502"/>
    <mergeCell ref="B503:D503"/>
    <mergeCell ref="B504:D504"/>
    <mergeCell ref="B505:D505"/>
    <mergeCell ref="B730:D730"/>
    <mergeCell ref="B522:D522"/>
  </mergeCells>
  <printOptions horizontalCentered="1"/>
  <pageMargins left="0.51181102362204722" right="0.31496062992125984" top="0.39370078740157483" bottom="0.59055118110236227" header="0.31496062992125984" footer="0.31496062992125984"/>
  <pageSetup paperSize="9" scale="93" fitToHeight="19" orientation="portrait" r:id="rId1"/>
  <headerFooter>
    <oddFooter>&amp;LSMOIT-DE&amp;RPágina &amp;P de &amp;N</oddFooter>
  </headerFooter>
  <colBreaks count="1" manualBreakCount="1">
    <brk id="7" max="834" man="1"/>
  </colBreaks>
  <drawing r:id="rId2"/>
  <legacyDrawing r:id="rId3"/>
  <oleObjects>
    <oleObject shapeId="7169" r:id="rId4"/>
  </oleObject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"/>
  <sheetViews>
    <sheetView view="pageBreakPreview" zoomScaleSheetLayoutView="100" workbookViewId="0">
      <selection activeCell="G1" sqref="G1:I1"/>
    </sheetView>
  </sheetViews>
  <sheetFormatPr defaultRowHeight="12.75"/>
  <cols>
    <col min="1" max="1" width="33.42578125" style="162" customWidth="1"/>
    <col min="2" max="2" width="7.85546875" style="162" bestFit="1" customWidth="1"/>
    <col min="3" max="3" width="6.28515625" style="204" bestFit="1" customWidth="1"/>
    <col min="4" max="4" width="8.5703125" style="162" bestFit="1" customWidth="1"/>
    <col min="5" max="5" width="7" style="162" bestFit="1" customWidth="1"/>
    <col min="6" max="6" width="7.7109375" style="205" bestFit="1" customWidth="1"/>
    <col min="7" max="7" width="9.140625" style="162"/>
    <col min="8" max="8" width="9.140625" style="205"/>
    <col min="9" max="16384" width="9.140625" style="162"/>
  </cols>
  <sheetData>
    <row r="1" spans="1:9" ht="90.6" customHeight="1" thickBot="1">
      <c r="A1" s="1108" t="s">
        <v>362</v>
      </c>
      <c r="B1" s="1109"/>
      <c r="C1" s="1109"/>
      <c r="D1" s="1109"/>
      <c r="E1" s="1109"/>
      <c r="F1" s="1110"/>
      <c r="G1" s="1111"/>
      <c r="H1" s="1111"/>
      <c r="I1" s="1112"/>
    </row>
    <row r="2" spans="1:9" ht="27" customHeight="1" thickBot="1">
      <c r="A2" s="321" t="s">
        <v>735</v>
      </c>
      <c r="B2" s="211" t="s">
        <v>313</v>
      </c>
      <c r="C2" s="1103" t="s">
        <v>310</v>
      </c>
      <c r="D2" s="1104"/>
      <c r="E2" s="1104"/>
      <c r="F2" s="1104"/>
      <c r="G2" s="1104"/>
      <c r="H2" s="1104"/>
      <c r="I2" s="1105"/>
    </row>
    <row r="3" spans="1:9">
      <c r="A3" s="322"/>
      <c r="B3" s="163"/>
      <c r="C3" s="164"/>
      <c r="D3" s="163"/>
      <c r="E3" s="163"/>
      <c r="F3" s="165"/>
      <c r="G3" s="166"/>
      <c r="H3" s="165"/>
      <c r="I3" s="323"/>
    </row>
    <row r="4" spans="1:9">
      <c r="A4" s="324" t="s">
        <v>172</v>
      </c>
      <c r="B4" s="167" t="s">
        <v>173</v>
      </c>
      <c r="C4" s="168" t="s">
        <v>174</v>
      </c>
      <c r="D4" s="167" t="s">
        <v>175</v>
      </c>
      <c r="E4" s="167" t="s">
        <v>176</v>
      </c>
      <c r="F4" s="169" t="s">
        <v>177</v>
      </c>
      <c r="G4" s="170" t="s">
        <v>178</v>
      </c>
      <c r="H4" s="169" t="s">
        <v>179</v>
      </c>
      <c r="I4" s="325" t="s">
        <v>153</v>
      </c>
    </row>
    <row r="5" spans="1:9">
      <c r="A5" s="326" t="s">
        <v>154</v>
      </c>
      <c r="B5" s="171"/>
      <c r="C5" s="172"/>
      <c r="D5" s="173"/>
      <c r="E5" s="173"/>
      <c r="F5" s="174"/>
      <c r="G5" s="173"/>
      <c r="H5" s="174"/>
      <c r="I5" s="327"/>
    </row>
    <row r="6" spans="1:9" ht="36">
      <c r="A6" s="328" t="s">
        <v>299</v>
      </c>
      <c r="B6" s="171" t="s">
        <v>155</v>
      </c>
      <c r="C6" s="175" t="s">
        <v>300</v>
      </c>
      <c r="D6" s="176">
        <v>0.65</v>
      </c>
      <c r="E6" s="177">
        <v>1</v>
      </c>
      <c r="F6" s="178">
        <v>11.42</v>
      </c>
      <c r="G6" s="179">
        <v>0</v>
      </c>
      <c r="H6" s="178">
        <f>F6</f>
        <v>11.42</v>
      </c>
      <c r="I6" s="180">
        <f>F6*D6</f>
        <v>7.423</v>
      </c>
    </row>
    <row r="7" spans="1:9" ht="24">
      <c r="A7" s="181" t="s">
        <v>298</v>
      </c>
      <c r="B7" s="182" t="s">
        <v>155</v>
      </c>
      <c r="C7" s="182" t="s">
        <v>301</v>
      </c>
      <c r="D7" s="176">
        <v>0.65</v>
      </c>
      <c r="E7" s="177">
        <v>1</v>
      </c>
      <c r="F7" s="178">
        <v>13.84</v>
      </c>
      <c r="G7" s="177">
        <v>0</v>
      </c>
      <c r="H7" s="178">
        <f>F7</f>
        <v>13.84</v>
      </c>
      <c r="I7" s="180">
        <f>F7*D7</f>
        <v>8.9960000000000004</v>
      </c>
    </row>
    <row r="8" spans="1:9" ht="15">
      <c r="A8" s="183" t="s">
        <v>180</v>
      </c>
      <c r="B8" s="184"/>
      <c r="C8" s="179"/>
      <c r="D8" s="184"/>
      <c r="E8" s="184"/>
      <c r="F8" s="185"/>
      <c r="G8" s="1113" t="s">
        <v>156</v>
      </c>
      <c r="H8" s="1113"/>
      <c r="I8" s="187">
        <f>SUM(I6:I7)</f>
        <v>16.419</v>
      </c>
    </row>
    <row r="9" spans="1:9" ht="15">
      <c r="A9" s="222" t="s">
        <v>157</v>
      </c>
      <c r="B9" s="220"/>
      <c r="C9" s="220"/>
      <c r="D9" s="221"/>
      <c r="E9" s="221"/>
      <c r="F9" s="221"/>
      <c r="G9" s="221"/>
      <c r="H9" s="221"/>
      <c r="I9" s="221"/>
    </row>
    <row r="10" spans="1:9" ht="36">
      <c r="A10" s="227" t="s">
        <v>310</v>
      </c>
      <c r="B10" s="186" t="s">
        <v>303</v>
      </c>
      <c r="C10" s="175" t="s">
        <v>311</v>
      </c>
      <c r="D10" s="185">
        <v>1</v>
      </c>
      <c r="E10" s="184">
        <v>1</v>
      </c>
      <c r="F10" s="185">
        <v>72.23</v>
      </c>
      <c r="G10" s="179">
        <v>0</v>
      </c>
      <c r="H10" s="185">
        <f>F10</f>
        <v>72.23</v>
      </c>
      <c r="I10" s="185">
        <f>H10*D10</f>
        <v>72.23</v>
      </c>
    </row>
    <row r="11" spans="1:9" ht="15">
      <c r="A11" s="226"/>
      <c r="B11" s="184"/>
      <c r="C11" s="179"/>
      <c r="D11" s="184"/>
      <c r="E11" s="184"/>
      <c r="F11" s="185"/>
      <c r="G11" s="1113" t="s">
        <v>156</v>
      </c>
      <c r="H11" s="1113"/>
      <c r="I11" s="187">
        <f>SUM(I9:I10)</f>
        <v>72.23</v>
      </c>
    </row>
    <row r="12" spans="1:9">
      <c r="A12" s="226"/>
      <c r="B12" s="184"/>
      <c r="C12" s="179"/>
      <c r="D12" s="184"/>
      <c r="E12" s="184"/>
      <c r="F12" s="185"/>
      <c r="G12" s="186"/>
      <c r="H12" s="185"/>
      <c r="I12" s="185"/>
    </row>
    <row r="13" spans="1:9">
      <c r="A13" s="324" t="s">
        <v>201</v>
      </c>
      <c r="B13" s="188"/>
      <c r="C13" s="189"/>
      <c r="D13" s="188"/>
      <c r="E13" s="188"/>
      <c r="F13" s="169"/>
      <c r="G13" s="190"/>
      <c r="H13" s="169" t="s">
        <v>159</v>
      </c>
      <c r="I13" s="325" t="s">
        <v>160</v>
      </c>
    </row>
    <row r="14" spans="1:9">
      <c r="A14" s="329" t="s">
        <v>158</v>
      </c>
      <c r="B14" s="191"/>
      <c r="C14" s="192"/>
      <c r="D14" s="191"/>
      <c r="E14" s="191"/>
      <c r="F14" s="193"/>
      <c r="G14" s="194"/>
      <c r="H14" s="193"/>
      <c r="I14" s="330"/>
    </row>
    <row r="15" spans="1:9">
      <c r="A15" s="331" t="s">
        <v>181</v>
      </c>
      <c r="B15" s="195"/>
      <c r="C15" s="192"/>
      <c r="D15" s="191"/>
      <c r="E15" s="191"/>
      <c r="F15" s="193"/>
      <c r="G15" s="194"/>
      <c r="H15" s="185">
        <v>134.87</v>
      </c>
      <c r="I15" s="330">
        <f>I8</f>
        <v>16.419</v>
      </c>
    </row>
    <row r="16" spans="1:9">
      <c r="A16" s="331" t="s">
        <v>161</v>
      </c>
      <c r="B16" s="195"/>
      <c r="C16" s="192"/>
      <c r="D16" s="191"/>
      <c r="E16" s="191"/>
      <c r="F16" s="193"/>
      <c r="G16" s="194"/>
      <c r="H16" s="193"/>
      <c r="I16" s="330">
        <f>I10</f>
        <v>72.23</v>
      </c>
    </row>
    <row r="17" spans="1:9">
      <c r="A17" s="331" t="s">
        <v>162</v>
      </c>
      <c r="B17" s="195"/>
      <c r="C17" s="192"/>
      <c r="D17" s="191"/>
      <c r="E17" s="191"/>
      <c r="F17" s="193"/>
      <c r="G17" s="194"/>
      <c r="H17" s="193"/>
      <c r="I17" s="330">
        <v>0</v>
      </c>
    </row>
    <row r="18" spans="1:9">
      <c r="A18" s="331" t="s">
        <v>163</v>
      </c>
      <c r="B18" s="195"/>
      <c r="C18" s="192"/>
      <c r="D18" s="191"/>
      <c r="E18" s="191"/>
      <c r="F18" s="193"/>
      <c r="G18" s="194"/>
      <c r="H18" s="193"/>
      <c r="I18" s="330">
        <v>1</v>
      </c>
    </row>
    <row r="19" spans="1:9">
      <c r="A19" s="331" t="s">
        <v>164</v>
      </c>
      <c r="B19" s="195"/>
      <c r="C19" s="192"/>
      <c r="D19" s="191"/>
      <c r="E19" s="191"/>
      <c r="F19" s="193"/>
      <c r="G19" s="194"/>
      <c r="H19" s="193"/>
      <c r="I19" s="330">
        <f>I15+I17</f>
        <v>16.419</v>
      </c>
    </row>
    <row r="20" spans="1:9">
      <c r="A20" s="1106" t="s">
        <v>165</v>
      </c>
      <c r="B20" s="1107"/>
      <c r="C20" s="192"/>
      <c r="D20" s="191"/>
      <c r="E20" s="191"/>
      <c r="F20" s="193"/>
      <c r="G20" s="194"/>
      <c r="H20" s="193"/>
      <c r="I20" s="330">
        <f>SUM(I15+I17)/I18</f>
        <v>16.419</v>
      </c>
    </row>
    <row r="21" spans="1:9">
      <c r="A21" s="331" t="s">
        <v>166</v>
      </c>
      <c r="B21" s="195"/>
      <c r="C21" s="192"/>
      <c r="D21" s="191"/>
      <c r="E21" s="191"/>
      <c r="F21" s="193"/>
      <c r="G21" s="194"/>
      <c r="H21" s="193"/>
      <c r="I21" s="330">
        <f>I20+I16</f>
        <v>88.649000000000001</v>
      </c>
    </row>
    <row r="22" spans="1:9" ht="13.5" thickBot="1">
      <c r="A22" s="332" t="s">
        <v>167</v>
      </c>
      <c r="B22" s="196"/>
      <c r="C22" s="197"/>
      <c r="D22" s="196"/>
      <c r="E22" s="196"/>
      <c r="F22" s="198"/>
      <c r="G22" s="199"/>
      <c r="H22" s="198"/>
      <c r="I22" s="333">
        <f>SUM(I16,I8)</f>
        <v>88.649000000000001</v>
      </c>
    </row>
    <row r="23" spans="1:9">
      <c r="A23" s="322"/>
      <c r="B23" s="163"/>
      <c r="C23" s="164"/>
      <c r="D23" s="163"/>
      <c r="E23" s="163"/>
      <c r="F23" s="165"/>
      <c r="G23" s="166"/>
      <c r="H23" s="165"/>
      <c r="I23" s="323"/>
    </row>
    <row r="24" spans="1:9">
      <c r="A24" s="339" t="s">
        <v>182</v>
      </c>
      <c r="B24" s="163"/>
      <c r="C24" s="164"/>
      <c r="D24" s="163"/>
      <c r="E24" s="163"/>
      <c r="F24" s="165"/>
      <c r="G24" s="166"/>
      <c r="H24" s="165"/>
      <c r="I24" s="323"/>
    </row>
    <row r="25" spans="1:9">
      <c r="A25" s="340" t="s">
        <v>312</v>
      </c>
      <c r="B25" s="334"/>
      <c r="C25" s="335"/>
      <c r="D25" s="334"/>
      <c r="E25" s="334"/>
      <c r="F25" s="336"/>
      <c r="G25" s="337"/>
      <c r="H25" s="336"/>
      <c r="I25" s="338"/>
    </row>
    <row r="26" spans="1:9">
      <c r="A26" s="200"/>
      <c r="B26" s="200"/>
      <c r="C26" s="201"/>
      <c r="D26" s="200"/>
      <c r="E26" s="200"/>
      <c r="F26" s="202"/>
      <c r="G26" s="203"/>
      <c r="H26" s="202"/>
      <c r="I26" s="202"/>
    </row>
    <row r="27" spans="1:9">
      <c r="A27" s="200"/>
      <c r="B27" s="200"/>
      <c r="C27" s="201"/>
      <c r="D27" s="200"/>
      <c r="E27" s="200"/>
      <c r="F27" s="202"/>
      <c r="G27" s="203"/>
      <c r="H27" s="202"/>
      <c r="I27" s="202"/>
    </row>
    <row r="28" spans="1:9">
      <c r="A28" s="200"/>
      <c r="B28" s="200"/>
      <c r="C28" s="201"/>
      <c r="D28" s="200"/>
      <c r="E28" s="200"/>
      <c r="F28" s="202"/>
      <c r="G28" s="203"/>
      <c r="H28" s="202"/>
      <c r="I28" s="202"/>
    </row>
    <row r="29" spans="1:9">
      <c r="A29" s="200"/>
      <c r="B29" s="200"/>
      <c r="C29" s="201"/>
      <c r="D29" s="200"/>
      <c r="E29" s="200"/>
      <c r="F29" s="202"/>
      <c r="G29" s="203"/>
      <c r="H29" s="202"/>
      <c r="I29" s="202"/>
    </row>
    <row r="30" spans="1:9">
      <c r="A30" s="200"/>
      <c r="B30" s="200"/>
      <c r="C30" s="201"/>
      <c r="D30" s="200"/>
      <c r="E30" s="200"/>
      <c r="F30" s="202"/>
      <c r="G30" s="203"/>
      <c r="H30" s="202"/>
      <c r="I30" s="202"/>
    </row>
    <row r="31" spans="1:9">
      <c r="A31" s="200"/>
      <c r="B31" s="200"/>
      <c r="C31" s="201"/>
      <c r="D31" s="200"/>
      <c r="E31" s="200"/>
      <c r="F31" s="202"/>
      <c r="G31" s="203"/>
      <c r="H31" s="202"/>
      <c r="I31" s="202"/>
    </row>
  </sheetData>
  <mergeCells count="6">
    <mergeCell ref="C2:I2"/>
    <mergeCell ref="A20:B20"/>
    <mergeCell ref="A1:F1"/>
    <mergeCell ref="G1:I1"/>
    <mergeCell ref="G8:H8"/>
    <mergeCell ref="G11:H11"/>
  </mergeCells>
  <pageMargins left="0.51181102362204722" right="0.51181102362204722" top="0.78740157480314965" bottom="0.78740157480314965" header="0.31496062992125984" footer="0.31496062992125984"/>
  <pageSetup paperSize="9" scale="93" orientation="portrait" r:id="rId1"/>
  <legacyDrawing r:id="rId2"/>
  <oleObjects>
    <oleObject shapeId="10338" r:id="rId3"/>
  </oleObjects>
</worksheet>
</file>

<file path=xl/worksheets/sheet6.xml><?xml version="1.0" encoding="utf-8"?>
<worksheet xmlns="http://schemas.openxmlformats.org/spreadsheetml/2006/main" xmlns:r="http://schemas.openxmlformats.org/officeDocument/2006/relationships">
  <dimension ref="C3:C30"/>
  <sheetViews>
    <sheetView workbookViewId="0">
      <selection activeCell="C25" sqref="C25"/>
    </sheetView>
  </sheetViews>
  <sheetFormatPr defaultRowHeight="15"/>
  <sheetData>
    <row r="3" spans="3:3">
      <c r="C3" t="s">
        <v>645</v>
      </c>
    </row>
    <row r="4" spans="3:3">
      <c r="C4" t="s">
        <v>646</v>
      </c>
    </row>
    <row r="5" spans="3:3">
      <c r="C5" t="s">
        <v>647</v>
      </c>
    </row>
    <row r="6" spans="3:3">
      <c r="C6" t="s">
        <v>648</v>
      </c>
    </row>
    <row r="7" spans="3:3">
      <c r="C7" t="s">
        <v>646</v>
      </c>
    </row>
    <row r="8" spans="3:3">
      <c r="C8" t="s">
        <v>647</v>
      </c>
    </row>
    <row r="9" spans="3:3">
      <c r="C9" t="s">
        <v>649</v>
      </c>
    </row>
    <row r="10" spans="3:3">
      <c r="C10" t="s">
        <v>650</v>
      </c>
    </row>
    <row r="11" spans="3:3">
      <c r="C11" t="s">
        <v>651</v>
      </c>
    </row>
    <row r="12" spans="3:3">
      <c r="C12" t="s">
        <v>652</v>
      </c>
    </row>
    <row r="13" spans="3:3">
      <c r="C13" t="s">
        <v>653</v>
      </c>
    </row>
    <row r="14" spans="3:3">
      <c r="C14" t="s">
        <v>654</v>
      </c>
    </row>
    <row r="15" spans="3:3">
      <c r="C15" t="s">
        <v>655</v>
      </c>
    </row>
    <row r="16" spans="3:3">
      <c r="C16" t="s">
        <v>653</v>
      </c>
    </row>
    <row r="17" spans="3:3">
      <c r="C17" t="s">
        <v>654</v>
      </c>
    </row>
    <row r="18" spans="3:3">
      <c r="C18" t="s">
        <v>656</v>
      </c>
    </row>
    <row r="19" spans="3:3">
      <c r="C19" t="s">
        <v>657</v>
      </c>
    </row>
    <row r="21" spans="3:3">
      <c r="C21" t="s">
        <v>661</v>
      </c>
    </row>
    <row r="22" spans="3:3">
      <c r="C22" t="s">
        <v>662</v>
      </c>
    </row>
    <row r="23" spans="3:3">
      <c r="C23" t="s">
        <v>663</v>
      </c>
    </row>
    <row r="25" spans="3:3">
      <c r="C25" t="s">
        <v>674</v>
      </c>
    </row>
    <row r="28" spans="3:3">
      <c r="C28" t="s">
        <v>666</v>
      </c>
    </row>
    <row r="29" spans="3:3">
      <c r="C29" t="s">
        <v>667</v>
      </c>
    </row>
    <row r="30" spans="3:3">
      <c r="C30" t="s">
        <v>668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2"/>
  <sheetViews>
    <sheetView view="pageBreakPreview" zoomScale="85" zoomScaleSheetLayoutView="85" workbookViewId="0">
      <selection activeCell="C8" sqref="C8"/>
    </sheetView>
  </sheetViews>
  <sheetFormatPr defaultRowHeight="12.75"/>
  <cols>
    <col min="1" max="1" width="33.42578125" style="162" customWidth="1"/>
    <col min="2" max="2" width="7.85546875" style="162" bestFit="1" customWidth="1"/>
    <col min="3" max="3" width="6.28515625" style="204" bestFit="1" customWidth="1"/>
    <col min="4" max="4" width="8.5703125" style="162" bestFit="1" customWidth="1"/>
    <col min="5" max="5" width="7" style="162" bestFit="1" customWidth="1"/>
    <col min="6" max="6" width="7.7109375" style="205" bestFit="1" customWidth="1"/>
    <col min="7" max="7" width="9.140625" style="162"/>
    <col min="8" max="8" width="9.140625" style="205"/>
    <col min="9" max="16384" width="9.140625" style="162"/>
  </cols>
  <sheetData>
    <row r="1" spans="1:9" ht="90.6" customHeight="1" thickBot="1">
      <c r="A1" s="1108" t="s">
        <v>362</v>
      </c>
      <c r="B1" s="1109"/>
      <c r="C1" s="1109"/>
      <c r="D1" s="1109"/>
      <c r="E1" s="1109"/>
      <c r="F1" s="1110"/>
      <c r="G1" s="1111"/>
      <c r="H1" s="1111"/>
      <c r="I1" s="1112"/>
    </row>
    <row r="2" spans="1:9" ht="27" customHeight="1" thickBot="1">
      <c r="A2" s="321" t="s">
        <v>739</v>
      </c>
      <c r="B2" s="211" t="s">
        <v>740</v>
      </c>
      <c r="C2" s="1103" t="s">
        <v>745</v>
      </c>
      <c r="D2" s="1104"/>
      <c r="E2" s="1104"/>
      <c r="F2" s="1104"/>
      <c r="G2" s="1104"/>
      <c r="H2" s="1104"/>
      <c r="I2" s="1105"/>
    </row>
    <row r="3" spans="1:9">
      <c r="A3" s="322"/>
      <c r="B3" s="163"/>
      <c r="C3" s="164"/>
      <c r="D3" s="163"/>
      <c r="E3" s="163"/>
      <c r="F3" s="165"/>
      <c r="G3" s="166"/>
      <c r="H3" s="165"/>
      <c r="I3" s="323"/>
    </row>
    <row r="4" spans="1:9">
      <c r="A4" s="324" t="s">
        <v>172</v>
      </c>
      <c r="B4" s="167" t="s">
        <v>173</v>
      </c>
      <c r="C4" s="168" t="s">
        <v>174</v>
      </c>
      <c r="D4" s="167" t="s">
        <v>175</v>
      </c>
      <c r="E4" s="167" t="s">
        <v>176</v>
      </c>
      <c r="F4" s="169" t="s">
        <v>177</v>
      </c>
      <c r="G4" s="170" t="s">
        <v>178</v>
      </c>
      <c r="H4" s="169" t="s">
        <v>179</v>
      </c>
      <c r="I4" s="325" t="s">
        <v>153</v>
      </c>
    </row>
    <row r="5" spans="1:9">
      <c r="A5" s="326" t="s">
        <v>154</v>
      </c>
      <c r="B5" s="171"/>
      <c r="C5" s="172"/>
      <c r="D5" s="173"/>
      <c r="E5" s="173"/>
      <c r="F5" s="174"/>
      <c r="G5" s="173"/>
      <c r="H5" s="174"/>
      <c r="I5" s="327"/>
    </row>
    <row r="6" spans="1:9" ht="24">
      <c r="A6" s="328" t="s">
        <v>741</v>
      </c>
      <c r="B6" s="171" t="s">
        <v>155</v>
      </c>
      <c r="C6" s="175" t="s">
        <v>743</v>
      </c>
      <c r="D6" s="176">
        <v>1.5</v>
      </c>
      <c r="E6" s="177">
        <v>1</v>
      </c>
      <c r="F6" s="178">
        <v>15.55</v>
      </c>
      <c r="G6" s="179">
        <v>0</v>
      </c>
      <c r="H6" s="178">
        <f>F6</f>
        <v>15.55</v>
      </c>
      <c r="I6" s="180">
        <f>F6*D6</f>
        <v>23.325000000000003</v>
      </c>
    </row>
    <row r="7" spans="1:9" ht="24">
      <c r="A7" s="181" t="s">
        <v>742</v>
      </c>
      <c r="B7" s="182" t="s">
        <v>155</v>
      </c>
      <c r="C7" s="182" t="s">
        <v>744</v>
      </c>
      <c r="D7" s="176">
        <v>1</v>
      </c>
      <c r="E7" s="177">
        <v>1</v>
      </c>
      <c r="F7" s="178">
        <v>11.25</v>
      </c>
      <c r="G7" s="177">
        <v>0</v>
      </c>
      <c r="H7" s="178">
        <f>F7</f>
        <v>11.25</v>
      </c>
      <c r="I7" s="180">
        <f>F7*D7</f>
        <v>11.25</v>
      </c>
    </row>
    <row r="8" spans="1:9" ht="15">
      <c r="A8" s="183" t="s">
        <v>180</v>
      </c>
      <c r="B8" s="184"/>
      <c r="C8" s="179"/>
      <c r="D8" s="184"/>
      <c r="E8" s="184"/>
      <c r="F8" s="185"/>
      <c r="G8" s="1113" t="s">
        <v>156</v>
      </c>
      <c r="H8" s="1113"/>
      <c r="I8" s="187">
        <f>ROUNDDOWN(I6+I7,2)</f>
        <v>34.57</v>
      </c>
    </row>
    <row r="9" spans="1:9" ht="15">
      <c r="A9" s="222" t="s">
        <v>157</v>
      </c>
      <c r="B9" s="220"/>
      <c r="C9" s="220"/>
      <c r="D9" s="221"/>
      <c r="E9" s="221"/>
      <c r="F9" s="221"/>
      <c r="G9" s="221"/>
      <c r="H9" s="221"/>
      <c r="I9" s="221"/>
    </row>
    <row r="10" spans="1:9" ht="36">
      <c r="A10" s="227" t="s">
        <v>745</v>
      </c>
      <c r="B10" s="186" t="s">
        <v>303</v>
      </c>
      <c r="C10" s="175" t="s">
        <v>311</v>
      </c>
      <c r="D10" s="185">
        <v>1</v>
      </c>
      <c r="E10" s="184">
        <v>1</v>
      </c>
      <c r="F10" s="185">
        <f>154.02*4</f>
        <v>616.08000000000004</v>
      </c>
      <c r="G10" s="179">
        <v>0</v>
      </c>
      <c r="H10" s="185">
        <f>F10</f>
        <v>616.08000000000004</v>
      </c>
      <c r="I10" s="185">
        <f>H10*D10</f>
        <v>616.08000000000004</v>
      </c>
    </row>
    <row r="11" spans="1:9" ht="36">
      <c r="A11" s="227" t="s">
        <v>747</v>
      </c>
      <c r="B11" s="186" t="s">
        <v>748</v>
      </c>
      <c r="C11" s="175" t="s">
        <v>749</v>
      </c>
      <c r="D11" s="742">
        <v>4.0000000000000001E-3</v>
      </c>
      <c r="E11" s="184">
        <v>1</v>
      </c>
      <c r="F11" s="185">
        <v>300.14999999999998</v>
      </c>
      <c r="G11" s="179">
        <v>0</v>
      </c>
      <c r="H11" s="185">
        <f>F11</f>
        <v>300.14999999999998</v>
      </c>
      <c r="I11" s="185">
        <f>H11*D11</f>
        <v>1.2005999999999999</v>
      </c>
    </row>
    <row r="12" spans="1:9" ht="15">
      <c r="A12" s="226"/>
      <c r="B12" s="184"/>
      <c r="C12" s="179"/>
      <c r="D12" s="184"/>
      <c r="E12" s="184"/>
      <c r="F12" s="185"/>
      <c r="G12" s="1113" t="s">
        <v>156</v>
      </c>
      <c r="H12" s="1113"/>
      <c r="I12" s="187">
        <f>ROUNDDOWN(I10+I11,2)</f>
        <v>617.28</v>
      </c>
    </row>
    <row r="13" spans="1:9">
      <c r="A13" s="226"/>
      <c r="B13" s="184"/>
      <c r="C13" s="179"/>
      <c r="D13" s="184"/>
      <c r="E13" s="184"/>
      <c r="F13" s="185"/>
      <c r="G13" s="186"/>
      <c r="H13" s="185"/>
      <c r="I13" s="185"/>
    </row>
    <row r="14" spans="1:9">
      <c r="A14" s="324" t="s">
        <v>201</v>
      </c>
      <c r="B14" s="188"/>
      <c r="C14" s="189"/>
      <c r="D14" s="188"/>
      <c r="E14" s="188"/>
      <c r="F14" s="169"/>
      <c r="G14" s="190"/>
      <c r="H14" s="169" t="s">
        <v>159</v>
      </c>
      <c r="I14" s="325" t="s">
        <v>160</v>
      </c>
    </row>
    <row r="15" spans="1:9">
      <c r="A15" s="329" t="s">
        <v>158</v>
      </c>
      <c r="B15" s="191"/>
      <c r="C15" s="192"/>
      <c r="D15" s="191"/>
      <c r="E15" s="191"/>
      <c r="F15" s="193"/>
      <c r="G15" s="194"/>
      <c r="H15" s="193"/>
      <c r="I15" s="330"/>
    </row>
    <row r="16" spans="1:9">
      <c r="A16" s="694" t="s">
        <v>181</v>
      </c>
      <c r="B16" s="695"/>
      <c r="C16" s="192"/>
      <c r="D16" s="191"/>
      <c r="E16" s="191"/>
      <c r="F16" s="193"/>
      <c r="G16" s="194"/>
      <c r="H16" s="185">
        <v>134.87</v>
      </c>
      <c r="I16" s="330">
        <f>I8</f>
        <v>34.57</v>
      </c>
    </row>
    <row r="17" spans="1:9">
      <c r="A17" s="694" t="s">
        <v>161</v>
      </c>
      <c r="B17" s="695"/>
      <c r="C17" s="192"/>
      <c r="D17" s="191"/>
      <c r="E17" s="191"/>
      <c r="F17" s="193"/>
      <c r="G17" s="194"/>
      <c r="H17" s="193"/>
      <c r="I17" s="330">
        <f>I12</f>
        <v>617.28</v>
      </c>
    </row>
    <row r="18" spans="1:9">
      <c r="A18" s="694" t="s">
        <v>162</v>
      </c>
      <c r="B18" s="695"/>
      <c r="C18" s="192"/>
      <c r="D18" s="191"/>
      <c r="E18" s="191"/>
      <c r="F18" s="193"/>
      <c r="G18" s="194"/>
      <c r="H18" s="193"/>
      <c r="I18" s="330">
        <v>0</v>
      </c>
    </row>
    <row r="19" spans="1:9">
      <c r="A19" s="694" t="s">
        <v>163</v>
      </c>
      <c r="B19" s="695"/>
      <c r="C19" s="192"/>
      <c r="D19" s="191"/>
      <c r="E19" s="191"/>
      <c r="F19" s="193"/>
      <c r="G19" s="194"/>
      <c r="H19" s="193"/>
      <c r="I19" s="330">
        <v>1</v>
      </c>
    </row>
    <row r="20" spans="1:9">
      <c r="A20" s="694" t="s">
        <v>164</v>
      </c>
      <c r="B20" s="695"/>
      <c r="C20" s="192"/>
      <c r="D20" s="191"/>
      <c r="E20" s="191"/>
      <c r="F20" s="193"/>
      <c r="G20" s="194"/>
      <c r="H20" s="193"/>
      <c r="I20" s="330">
        <f>I16+I18</f>
        <v>34.57</v>
      </c>
    </row>
    <row r="21" spans="1:9">
      <c r="A21" s="1106" t="s">
        <v>165</v>
      </c>
      <c r="B21" s="1107"/>
      <c r="C21" s="192"/>
      <c r="D21" s="191"/>
      <c r="E21" s="191"/>
      <c r="F21" s="193"/>
      <c r="G21" s="194"/>
      <c r="H21" s="193"/>
      <c r="I21" s="330">
        <f>SUM(I16+I18)/I19</f>
        <v>34.57</v>
      </c>
    </row>
    <row r="22" spans="1:9">
      <c r="A22" s="694" t="s">
        <v>166</v>
      </c>
      <c r="B22" s="695"/>
      <c r="C22" s="192"/>
      <c r="D22" s="191"/>
      <c r="E22" s="191"/>
      <c r="F22" s="193"/>
      <c r="G22" s="194"/>
      <c r="H22" s="193"/>
      <c r="I22" s="330">
        <f>I21+I17</f>
        <v>651.85</v>
      </c>
    </row>
    <row r="23" spans="1:9" ht="13.5" thickBot="1">
      <c r="A23" s="332" t="s">
        <v>167</v>
      </c>
      <c r="B23" s="196"/>
      <c r="C23" s="197"/>
      <c r="D23" s="196"/>
      <c r="E23" s="196"/>
      <c r="F23" s="198"/>
      <c r="G23" s="199"/>
      <c r="H23" s="198"/>
      <c r="I23" s="333">
        <f>SUM(I17,I8)</f>
        <v>651.85</v>
      </c>
    </row>
    <row r="24" spans="1:9">
      <c r="A24" s="322"/>
      <c r="B24" s="163"/>
      <c r="C24" s="164"/>
      <c r="D24" s="163"/>
      <c r="E24" s="163"/>
      <c r="F24" s="165"/>
      <c r="G24" s="166"/>
      <c r="H24" s="165"/>
      <c r="I24" s="323"/>
    </row>
    <row r="25" spans="1:9">
      <c r="A25" s="339" t="s">
        <v>182</v>
      </c>
      <c r="B25" s="163"/>
      <c r="C25" s="164"/>
      <c r="D25" s="163"/>
      <c r="E25" s="163"/>
      <c r="F25" s="165"/>
      <c r="G25" s="166"/>
      <c r="H25" s="165"/>
      <c r="I25" s="323"/>
    </row>
    <row r="26" spans="1:9">
      <c r="A26" s="340" t="s">
        <v>746</v>
      </c>
      <c r="B26" s="334"/>
      <c r="C26" s="335"/>
      <c r="D26" s="334"/>
      <c r="E26" s="334"/>
      <c r="F26" s="336"/>
      <c r="G26" s="337"/>
      <c r="H26" s="336"/>
      <c r="I26" s="338"/>
    </row>
    <row r="27" spans="1:9">
      <c r="A27" s="200"/>
      <c r="B27" s="200"/>
      <c r="C27" s="201"/>
      <c r="D27" s="200"/>
      <c r="E27" s="200"/>
      <c r="F27" s="202"/>
      <c r="G27" s="203"/>
      <c r="H27" s="202"/>
      <c r="I27" s="202"/>
    </row>
    <row r="28" spans="1:9">
      <c r="A28" s="200"/>
      <c r="B28" s="200"/>
      <c r="C28" s="201"/>
      <c r="D28" s="200"/>
      <c r="E28" s="200"/>
      <c r="F28" s="202"/>
      <c r="G28" s="203"/>
      <c r="H28" s="202"/>
      <c r="I28" s="202"/>
    </row>
    <row r="29" spans="1:9">
      <c r="A29" s="200"/>
      <c r="B29" s="200"/>
      <c r="C29" s="201"/>
      <c r="D29" s="200"/>
      <c r="E29" s="200"/>
      <c r="F29" s="202"/>
      <c r="G29" s="203"/>
      <c r="H29" s="202"/>
      <c r="I29" s="202"/>
    </row>
    <row r="30" spans="1:9">
      <c r="A30" s="200"/>
      <c r="B30" s="200"/>
      <c r="C30" s="201"/>
      <c r="D30" s="200"/>
      <c r="E30" s="200"/>
      <c r="F30" s="202"/>
      <c r="G30" s="203"/>
      <c r="H30" s="202"/>
      <c r="I30" s="202"/>
    </row>
    <row r="31" spans="1:9">
      <c r="A31" s="200"/>
      <c r="B31" s="200"/>
      <c r="C31" s="201"/>
      <c r="D31" s="200"/>
      <c r="E31" s="200"/>
      <c r="F31" s="202"/>
      <c r="G31" s="203"/>
      <c r="H31" s="202"/>
      <c r="I31" s="202"/>
    </row>
    <row r="32" spans="1:9">
      <c r="A32" s="200"/>
      <c r="B32" s="200"/>
      <c r="C32" s="201"/>
      <c r="D32" s="200"/>
      <c r="E32" s="200"/>
      <c r="F32" s="202"/>
      <c r="G32" s="203"/>
      <c r="H32" s="202"/>
      <c r="I32" s="202"/>
    </row>
  </sheetData>
  <mergeCells count="6">
    <mergeCell ref="A21:B21"/>
    <mergeCell ref="A1:F1"/>
    <mergeCell ref="G1:I1"/>
    <mergeCell ref="C2:I2"/>
    <mergeCell ref="G8:H8"/>
    <mergeCell ref="G12:H12"/>
  </mergeCells>
  <pageMargins left="0.51181102362204722" right="0.51181102362204722" top="0.78740157480314965" bottom="0.78740157480314965" header="0.31496062992125984" footer="0.31496062992125984"/>
  <pageSetup paperSize="9" scale="93" orientation="portrait" r:id="rId1"/>
  <legacyDrawing r:id="rId2"/>
  <oleObjects>
    <oleObject shapeId="12289" r:id="rId3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8</vt:i4>
      </vt:variant>
    </vt:vector>
  </HeadingPairs>
  <TitlesOfParts>
    <vt:vector size="15" baseType="lpstr">
      <vt:lpstr>BDI</vt:lpstr>
      <vt:lpstr>CEIM_SÃO_PEDRO</vt:lpstr>
      <vt:lpstr>CRONOGRAMA</vt:lpstr>
      <vt:lpstr>MEMORIAL DE CÁLCULO </vt:lpstr>
      <vt:lpstr>COMPOSIÇÃO 01</vt:lpstr>
      <vt:lpstr>Plan1</vt:lpstr>
      <vt:lpstr>COMPOSIÇÃO 02</vt:lpstr>
      <vt:lpstr>BDI!Area_de_impressao</vt:lpstr>
      <vt:lpstr>CEIM_SÃO_PEDRO!Area_de_impressao</vt:lpstr>
      <vt:lpstr>'COMPOSIÇÃO 01'!Area_de_impressao</vt:lpstr>
      <vt:lpstr>'COMPOSIÇÃO 02'!Area_de_impressao</vt:lpstr>
      <vt:lpstr>CRONOGRAMA!Area_de_impressao</vt:lpstr>
      <vt:lpstr>'MEMORIAL DE CÁLCULO '!Area_de_impressao</vt:lpstr>
      <vt:lpstr>CEIM_SÃO_PEDRO!Titulos_de_impressao</vt:lpstr>
      <vt:lpstr>'MEMORIAL DE CÁLCULO 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marcelo.oliveira</dc:creator>
  <cp:lastModifiedBy>marcelo.oliveira</cp:lastModifiedBy>
  <cp:lastPrinted>2015-07-22T14:53:18Z</cp:lastPrinted>
  <dcterms:created xsi:type="dcterms:W3CDTF">2013-10-08T13:10:51Z</dcterms:created>
  <dcterms:modified xsi:type="dcterms:W3CDTF">2015-07-27T18:08:11Z</dcterms:modified>
</cp:coreProperties>
</file>