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drawings/drawing3.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drawings/drawing4.xml" ContentType="application/vnd.openxmlformats-officedocument.drawing+xml"/>
  <Override PartName="/xl/embeddings/oleObject5.bin" ContentType="application/vnd.openxmlformats-officedocument.oleObject"/>
  <Override PartName="/xl/drawings/drawing5.xml" ContentType="application/vnd.openxmlformats-officedocument.drawing+xml"/>
  <Override PartName="/xl/embeddings/oleObject6.bin" ContentType="application/vnd.openxmlformats-officedocument.oleObject"/>
  <Override PartName="/xl/drawings/drawing6.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drawings/drawing7.xml" ContentType="application/vnd.openxmlformats-officedocument.drawing+xml"/>
  <Override PartName="/xl/embeddings/oleObject9.bin" ContentType="application/vnd.openxmlformats-officedocument.oleObject"/>
  <Override PartName="/xl/embeddings/oleObject10.bin" ContentType="application/vnd.openxmlformats-officedocument.oleObject"/>
  <Override PartName="/xl/drawings/drawing8.xml" ContentType="application/vnd.openxmlformats-officedocument.drawing+xml"/>
  <Override PartName="/xl/embeddings/oleObject11.bin" ContentType="application/vnd.openxmlformats-officedocument.oleObject"/>
  <Override PartName="/xl/drawings/drawing9.xml" ContentType="application/vnd.openxmlformats-officedocument.drawing+xml"/>
  <Override PartName="/xl/embeddings/oleObject12.bin" ContentType="application/vnd.openxmlformats-officedocument.oleObject"/>
  <Override PartName="/xl/drawings/drawing10.xml" ContentType="application/vnd.openxmlformats-officedocument.drawing+xml"/>
  <Override PartName="/xl/embeddings/oleObject13.bin" ContentType="application/vnd.openxmlformats-officedocument.oleObject"/>
  <Override PartName="/xl/drawings/drawing11.xml" ContentType="application/vnd.openxmlformats-officedocument.drawing+xml"/>
  <Override PartName="/xl/embeddings/oleObject14.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9200" windowHeight="7800" tabRatio="957" firstSheet="3" activeTab="8"/>
  </bookViews>
  <sheets>
    <sheet name="ORCAMENTO" sheetId="1" r:id="rId1"/>
    <sheet name="CRONOGRAMA" sheetId="9" r:id="rId2"/>
    <sheet name="CRONOGRAMA REFORMA" sheetId="21" state="hidden" r:id="rId3"/>
    <sheet name="MEMORIA DE CALCULO AMPLIAÇÃO" sheetId="13" r:id="rId4"/>
    <sheet name="MEMORIA DE CÁLCULO REFORMA" sheetId="19" r:id="rId5"/>
    <sheet name="COMPOSICOES AMPLIAÇÃO" sheetId="15" r:id="rId6"/>
    <sheet name="COMPOSICOES REFORMA" sheetId="20" r:id="rId7"/>
    <sheet name="BDI" sheetId="11" r:id="rId8"/>
    <sheet name="BDI Diferenciado" sheetId="16" r:id="rId9"/>
    <sheet name="ENCARGOS SOCIAIS" sheetId="12" r:id="rId10"/>
    <sheet name="Orçamentos" sheetId="17" r:id="rId11"/>
  </sheets>
  <externalReferences>
    <externalReference r:id="rId12"/>
    <externalReference r:id="rId13"/>
    <externalReference r:id="rId14"/>
    <externalReference r:id="rId15"/>
    <externalReference r:id="rId16"/>
  </externalReferences>
  <definedNames>
    <definedName name="_xlnm._FilterDatabase" localSheetId="0" hidden="1">ORCAMENTO!$B$19:$J$303</definedName>
    <definedName name="_xlnm.Print_Area" localSheetId="7">BDI!$B$2:$E$44</definedName>
    <definedName name="_xlnm.Print_Area" localSheetId="8">'BDI Diferenciado'!$B$2:$E$44</definedName>
    <definedName name="_xlnm.Print_Area" localSheetId="5">'COMPOSICOES AMPLIAÇÃO'!$B$1:$J$1227</definedName>
    <definedName name="_xlnm.Print_Area" localSheetId="6">'COMPOSICOES REFORMA'!$A$1:$J$518</definedName>
    <definedName name="_xlnm.Print_Area" localSheetId="1">CRONOGRAMA!$B$2:$K$106</definedName>
    <definedName name="_xlnm.Print_Area" localSheetId="2">'CRONOGRAMA REFORMA'!$B$2:$K$17</definedName>
    <definedName name="_xlnm.Print_Area" localSheetId="9">'ENCARGOS SOCIAIS'!$B$2:$E$53</definedName>
    <definedName name="_xlnm.Print_Area" localSheetId="3">'MEMORIA DE CALCULO AMPLIAÇÃO'!$B$2:$J$504</definedName>
    <definedName name="_xlnm.Print_Area" localSheetId="4">'MEMORIA DE CÁLCULO REFORMA'!$B$2:$J$893</definedName>
    <definedName name="_xlnm.Print_Area" localSheetId="0">ORCAMENTO!$B$2:$J$485</definedName>
    <definedName name="BDI" localSheetId="8">'BDI Diferenciado'!$E$42</definedName>
    <definedName name="BDI">BDI!$E$42</definedName>
    <definedName name="JR_PAGE_ANCHOR_0_1" localSheetId="5">[1]ORCAMENTO!#REF!</definedName>
    <definedName name="JR_PAGE_ANCHOR_0_1" localSheetId="6">[2]ORCAMENTO!#REF!</definedName>
    <definedName name="JR_PAGE_ANCHOR_0_1" localSheetId="2">#REF!</definedName>
    <definedName name="JR_PAGE_ANCHOR_0_1">ORCAMENTO!#REF!</definedName>
    <definedName name="JR_PAGE_ANCHOR_1_1" localSheetId="5">#REF!</definedName>
    <definedName name="JR_PAGE_ANCHOR_1_1" localSheetId="6">#REF!</definedName>
    <definedName name="JR_PAGE_ANCHOR_1_1" localSheetId="2">#REF!</definedName>
    <definedName name="JR_PAGE_ANCHOR_1_1">#REF!</definedName>
    <definedName name="JR_PAGE_ANCHOR_10_1" localSheetId="8">'BDI Diferenciado'!#REF!</definedName>
    <definedName name="JR_PAGE_ANCHOR_10_1" localSheetId="5">[1]BDI!#REF!</definedName>
    <definedName name="JR_PAGE_ANCHOR_10_1" localSheetId="6">[2]BDI!#REF!</definedName>
    <definedName name="JR_PAGE_ANCHOR_10_1" localSheetId="2">[3]BDI!#REF!</definedName>
    <definedName name="JR_PAGE_ANCHOR_10_1">BDI!#REF!</definedName>
    <definedName name="JR_PAGE_ANCHOR_11_1" localSheetId="5">'[1]ENCARGOS SOCIAIS'!#REF!</definedName>
    <definedName name="JR_PAGE_ANCHOR_11_1" localSheetId="6">'[2]ENCARGOS SOCIAIS'!#REF!</definedName>
    <definedName name="JR_PAGE_ANCHOR_11_1" localSheetId="2">'[3]ENCARGOS SOCIAIS'!#REF!</definedName>
    <definedName name="JR_PAGE_ANCHOR_11_1">'ENCARGOS SOCIAIS'!#REF!</definedName>
    <definedName name="JR_PAGE_ANCHOR_2_1" localSheetId="5">#REF!</definedName>
    <definedName name="JR_PAGE_ANCHOR_2_1" localSheetId="6">#REF!</definedName>
    <definedName name="JR_PAGE_ANCHOR_2_1" localSheetId="2">#REF!</definedName>
    <definedName name="JR_PAGE_ANCHOR_2_1">#REF!</definedName>
    <definedName name="JR_PAGE_ANCHOR_3_1" localSheetId="5">#REF!</definedName>
    <definedName name="JR_PAGE_ANCHOR_3_1" localSheetId="6">#REF!</definedName>
    <definedName name="JR_PAGE_ANCHOR_3_1" localSheetId="2">#REF!</definedName>
    <definedName name="JR_PAGE_ANCHOR_3_1">#REF!</definedName>
    <definedName name="JR_PAGE_ANCHOR_4_1" localSheetId="5">#REF!</definedName>
    <definedName name="JR_PAGE_ANCHOR_4_1" localSheetId="6">#REF!</definedName>
    <definedName name="JR_PAGE_ANCHOR_4_1" localSheetId="2">#REF!</definedName>
    <definedName name="JR_PAGE_ANCHOR_4_1">#REF!</definedName>
    <definedName name="JR_PAGE_ANCHOR_5_1" localSheetId="5">#REF!</definedName>
    <definedName name="JR_PAGE_ANCHOR_5_1" localSheetId="6">#REF!</definedName>
    <definedName name="JR_PAGE_ANCHOR_5_1" localSheetId="2">#REF!</definedName>
    <definedName name="JR_PAGE_ANCHOR_5_1">#REF!</definedName>
    <definedName name="JR_PAGE_ANCHOR_6_1" localSheetId="5">#REF!</definedName>
    <definedName name="JR_PAGE_ANCHOR_6_1" localSheetId="6">#REF!</definedName>
    <definedName name="JR_PAGE_ANCHOR_6_1" localSheetId="2">#REF!</definedName>
    <definedName name="JR_PAGE_ANCHOR_6_1">#REF!</definedName>
    <definedName name="JR_PAGE_ANCHOR_7_1" localSheetId="5">#REF!</definedName>
    <definedName name="JR_PAGE_ANCHOR_7_1" localSheetId="6">#REF!</definedName>
    <definedName name="JR_PAGE_ANCHOR_7_1" localSheetId="2">#REF!</definedName>
    <definedName name="JR_PAGE_ANCHOR_7_1">#REF!</definedName>
    <definedName name="JR_PAGE_ANCHOR_8_1" localSheetId="5">[1]CRONOGRAMA!#REF!</definedName>
    <definedName name="JR_PAGE_ANCHOR_8_1" localSheetId="6">[2]CRONOGRAMA!#REF!</definedName>
    <definedName name="JR_PAGE_ANCHOR_8_1" localSheetId="2">'CRONOGRAMA REFORMA'!#REF!</definedName>
    <definedName name="JR_PAGE_ANCHOR_8_1">CRONOGRAMA!#REF!</definedName>
    <definedName name="JR_PAGE_ANCHOR_9_1" localSheetId="5">#REF!</definedName>
    <definedName name="JR_PAGE_ANCHOR_9_1" localSheetId="6">#REF!</definedName>
    <definedName name="JR_PAGE_ANCHOR_9_1" localSheetId="2">#REF!</definedName>
    <definedName name="JR_PAGE_ANCHOR_9_1">#REF!</definedName>
    <definedName name="PREÇO">'[4]Lista Preço'!$13:$1048576</definedName>
    <definedName name="sinapi">#REF!</definedName>
    <definedName name="_xlnm.Print_Titles" localSheetId="5">'COMPOSICOES AMPLIAÇÃO'!$1:$12</definedName>
    <definedName name="_xlnm.Print_Titles" localSheetId="6">'COMPOSICOES REFORMA'!$1:$12</definedName>
    <definedName name="_xlnm.Print_Titles" localSheetId="1">CRONOGRAMA!$2:$18</definedName>
    <definedName name="_xlnm.Print_Titles" localSheetId="2">'CRONOGRAMA REFORMA'!$2:$18</definedName>
    <definedName name="_xlnm.Print_Titles" localSheetId="9">'ENCARGOS SOCIAIS'!$2:$17</definedName>
    <definedName name="_xlnm.Print_Titles" localSheetId="3">'MEMORIA DE CALCULO AMPLIAÇÃO'!$2:$17</definedName>
    <definedName name="_xlnm.Print_Titles" localSheetId="0">ORCAMENTO!$2:$19</definedName>
  </definedNames>
  <calcPr calcId="152511"/>
  <fileRecoveryPr autoRecover="0"/>
</workbook>
</file>

<file path=xl/calcChain.xml><?xml version="1.0" encoding="utf-8"?>
<calcChain xmlns="http://schemas.openxmlformats.org/spreadsheetml/2006/main">
  <c r="D74" i="9" l="1"/>
  <c r="F75" i="9" s="1"/>
  <c r="K74" i="9"/>
  <c r="D76" i="9"/>
  <c r="F77" i="9" s="1"/>
  <c r="K77" i="9" s="1"/>
  <c r="K76" i="9"/>
  <c r="D78" i="9"/>
  <c r="F79" i="9" s="1"/>
  <c r="K78" i="9"/>
  <c r="D80" i="9"/>
  <c r="H81" i="9" s="1"/>
  <c r="K80" i="9"/>
  <c r="D82" i="9"/>
  <c r="G83" i="9" s="1"/>
  <c r="K82" i="9"/>
  <c r="D84" i="9"/>
  <c r="G85" i="9" s="1"/>
  <c r="K84" i="9"/>
  <c r="D86" i="9"/>
  <c r="H87" i="9" s="1"/>
  <c r="K86" i="9"/>
  <c r="G87" i="9"/>
  <c r="D88" i="9"/>
  <c r="H89" i="9" s="1"/>
  <c r="K89" i="9" s="1"/>
  <c r="K88" i="9"/>
  <c r="D90" i="9"/>
  <c r="G91" i="9" s="1"/>
  <c r="K90" i="9"/>
  <c r="D92" i="9"/>
  <c r="G93" i="9" s="1"/>
  <c r="K92" i="9"/>
  <c r="D94" i="9"/>
  <c r="H95" i="9" s="1"/>
  <c r="K95" i="9" s="1"/>
  <c r="K94" i="9"/>
  <c r="D96" i="9"/>
  <c r="G97" i="9" s="1"/>
  <c r="K96" i="9"/>
  <c r="D98" i="9"/>
  <c r="H99" i="9" s="1"/>
  <c r="K99" i="9" s="1"/>
  <c r="K98" i="9"/>
  <c r="D100" i="9"/>
  <c r="H101" i="9" s="1"/>
  <c r="K101" i="9" s="1"/>
  <c r="K100" i="9"/>
  <c r="J485" i="1"/>
  <c r="H325" i="1"/>
  <c r="G328" i="1"/>
  <c r="G329" i="1"/>
  <c r="G330" i="1"/>
  <c r="G331" i="1"/>
  <c r="G332" i="1"/>
  <c r="H332" i="1"/>
  <c r="G333" i="1"/>
  <c r="G334" i="1"/>
  <c r="H334" i="1"/>
  <c r="G335" i="1"/>
  <c r="G336" i="1" s="1"/>
  <c r="G340" i="1"/>
  <c r="G341" i="1"/>
  <c r="G344" i="1"/>
  <c r="G345" i="1"/>
  <c r="G346" i="1"/>
  <c r="G348" i="1"/>
  <c r="G349" i="1"/>
  <c r="G350" i="1"/>
  <c r="G351" i="1"/>
  <c r="G353" i="1"/>
  <c r="G355" i="1"/>
  <c r="G356" i="1"/>
  <c r="G357" i="1"/>
  <c r="G360" i="1"/>
  <c r="G361" i="1"/>
  <c r="G362" i="1"/>
  <c r="G363" i="1"/>
  <c r="G364" i="1"/>
  <c r="G365" i="1"/>
  <c r="G366" i="1"/>
  <c r="G367" i="1"/>
  <c r="H367" i="1"/>
  <c r="G369" i="1"/>
  <c r="G370" i="1"/>
  <c r="G375" i="1"/>
  <c r="G421" i="1"/>
  <c r="G423" i="1"/>
  <c r="G424" i="1"/>
  <c r="G425" i="1"/>
  <c r="G426" i="1"/>
  <c r="G427" i="1"/>
  <c r="G428" i="1"/>
  <c r="G429" i="1"/>
  <c r="G431" i="1"/>
  <c r="G432" i="1"/>
  <c r="G434" i="1"/>
  <c r="G435" i="1"/>
  <c r="G437" i="1"/>
  <c r="G438" i="1"/>
  <c r="G439" i="1"/>
  <c r="H463" i="1"/>
  <c r="H464" i="1"/>
  <c r="H465" i="1"/>
  <c r="G479" i="1"/>
  <c r="H479" i="1"/>
  <c r="G481" i="1"/>
  <c r="J24" i="19"/>
  <c r="J11" i="20"/>
  <c r="F294" i="20" s="1"/>
  <c r="G23" i="20"/>
  <c r="I23" i="20"/>
  <c r="J23" i="20" s="1"/>
  <c r="G24" i="20"/>
  <c r="I24" i="20"/>
  <c r="J24" i="20"/>
  <c r="J48" i="20"/>
  <c r="J56" i="20"/>
  <c r="F60" i="20"/>
  <c r="G61" i="20"/>
  <c r="G62" i="20"/>
  <c r="F67" i="20"/>
  <c r="G79" i="20"/>
  <c r="I79" i="20"/>
  <c r="J79" i="20"/>
  <c r="I80" i="20"/>
  <c r="J80" i="20"/>
  <c r="I81" i="20"/>
  <c r="J81" i="20"/>
  <c r="J106" i="20"/>
  <c r="J113" i="20"/>
  <c r="F117" i="20"/>
  <c r="G118" i="20"/>
  <c r="G119" i="20"/>
  <c r="F124" i="20"/>
  <c r="I136" i="20"/>
  <c r="J136" i="20" s="1"/>
  <c r="J142" i="20" s="1"/>
  <c r="G174" i="20" s="1"/>
  <c r="G178" i="20" s="1"/>
  <c r="G179" i="20" s="1"/>
  <c r="I146" i="20"/>
  <c r="J146" i="20"/>
  <c r="J162" i="20" s="1"/>
  <c r="G175" i="20" s="1"/>
  <c r="J170" i="20"/>
  <c r="F174" i="20"/>
  <c r="G176" i="20"/>
  <c r="F181" i="20"/>
  <c r="G193" i="20"/>
  <c r="I193" i="20"/>
  <c r="J193" i="20" s="1"/>
  <c r="I194" i="20"/>
  <c r="J194" i="20" s="1"/>
  <c r="I195" i="20"/>
  <c r="J195" i="20"/>
  <c r="I202" i="20"/>
  <c r="J202" i="20"/>
  <c r="J218" i="20" s="1"/>
  <c r="G231" i="20" s="1"/>
  <c r="I203" i="20"/>
  <c r="J203" i="20"/>
  <c r="J226" i="20"/>
  <c r="F230" i="20"/>
  <c r="G232" i="20"/>
  <c r="F237" i="20"/>
  <c r="G249" i="20"/>
  <c r="I249" i="20"/>
  <c r="J249" i="20" s="1"/>
  <c r="G250" i="20"/>
  <c r="I250" i="20" s="1"/>
  <c r="J250" i="20" s="1"/>
  <c r="I251" i="20"/>
  <c r="J251" i="20"/>
  <c r="I258" i="20"/>
  <c r="J258" i="20"/>
  <c r="I259" i="20"/>
  <c r="J259" i="20" s="1"/>
  <c r="J275" i="20"/>
  <c r="G288" i="20" s="1"/>
  <c r="J283" i="20"/>
  <c r="F287" i="20"/>
  <c r="G289" i="20"/>
  <c r="G306" i="20"/>
  <c r="I306" i="20"/>
  <c r="J306" i="20"/>
  <c r="G307" i="20"/>
  <c r="I307" i="20"/>
  <c r="J307" i="20" s="1"/>
  <c r="I308" i="20"/>
  <c r="J308" i="20" s="1"/>
  <c r="J312" i="20"/>
  <c r="G345" i="20" s="1"/>
  <c r="G349" i="20" s="1"/>
  <c r="G350" i="20" s="1"/>
  <c r="I315" i="20"/>
  <c r="J315" i="20"/>
  <c r="I316" i="20"/>
  <c r="J316" i="20"/>
  <c r="J341" i="20"/>
  <c r="F345" i="20"/>
  <c r="G347" i="20"/>
  <c r="F352" i="20"/>
  <c r="G364" i="20"/>
  <c r="I364" i="20"/>
  <c r="J364" i="20" s="1"/>
  <c r="J370" i="20" s="1"/>
  <c r="G401" i="20" s="1"/>
  <c r="G365" i="20"/>
  <c r="I365" i="20"/>
  <c r="J365" i="20"/>
  <c r="I366" i="20"/>
  <c r="J366" i="20"/>
  <c r="I373" i="20"/>
  <c r="J373" i="20" s="1"/>
  <c r="J389" i="20" s="1"/>
  <c r="G402" i="20" s="1"/>
  <c r="I374" i="20"/>
  <c r="J374" i="20"/>
  <c r="J397" i="20"/>
  <c r="F401" i="20"/>
  <c r="G403" i="20"/>
  <c r="G405" i="20"/>
  <c r="G406" i="20" s="1"/>
  <c r="F408" i="20"/>
  <c r="I420" i="20"/>
  <c r="J420" i="20" s="1"/>
  <c r="I421" i="20"/>
  <c r="J421" i="20"/>
  <c r="I422" i="20"/>
  <c r="J422" i="20" s="1"/>
  <c r="J426" i="20"/>
  <c r="G456" i="20" s="1"/>
  <c r="G460" i="20" s="1"/>
  <c r="G461" i="20" s="1"/>
  <c r="I429" i="20"/>
  <c r="J429" i="20"/>
  <c r="I430" i="20"/>
  <c r="J430" i="20"/>
  <c r="J452" i="20"/>
  <c r="F456" i="20"/>
  <c r="G458" i="20"/>
  <c r="F463" i="20"/>
  <c r="G475" i="20"/>
  <c r="I475" i="20"/>
  <c r="J475" i="20" s="1"/>
  <c r="J481" i="20" s="1"/>
  <c r="I476" i="20"/>
  <c r="J476" i="20"/>
  <c r="I484" i="20"/>
  <c r="J484" i="20"/>
  <c r="I485" i="20"/>
  <c r="J485" i="20"/>
  <c r="I486" i="20"/>
  <c r="J486" i="20"/>
  <c r="J506" i="20"/>
  <c r="F510" i="20"/>
  <c r="G510" i="20"/>
  <c r="G514" i="20" s="1"/>
  <c r="G515" i="20" s="1"/>
  <c r="G512" i="20"/>
  <c r="F517" i="20"/>
  <c r="J20" i="19"/>
  <c r="C23" i="19"/>
  <c r="D23" i="19"/>
  <c r="J23" i="19"/>
  <c r="G327" i="1" s="1"/>
  <c r="C24" i="19"/>
  <c r="J25" i="19"/>
  <c r="J26" i="19"/>
  <c r="J27" i="19"/>
  <c r="J28" i="19"/>
  <c r="J29" i="19"/>
  <c r="J30" i="19"/>
  <c r="J31" i="19"/>
  <c r="J32" i="19"/>
  <c r="J33" i="19"/>
  <c r="J34" i="19"/>
  <c r="J35" i="19"/>
  <c r="J36" i="19"/>
  <c r="J37" i="19"/>
  <c r="J38" i="19"/>
  <c r="J39" i="19"/>
  <c r="J40" i="19"/>
  <c r="J41" i="19"/>
  <c r="J42" i="19"/>
  <c r="J43" i="19"/>
  <c r="J44" i="19"/>
  <c r="J45" i="19"/>
  <c r="J46" i="19"/>
  <c r="J47" i="19"/>
  <c r="J48" i="19"/>
  <c r="J49" i="19"/>
  <c r="J50" i="19"/>
  <c r="J51" i="19"/>
  <c r="J52" i="19"/>
  <c r="G57" i="19"/>
  <c r="J57" i="19"/>
  <c r="J58" i="19"/>
  <c r="F59" i="19"/>
  <c r="J59" i="19"/>
  <c r="J60" i="19"/>
  <c r="J61" i="19"/>
  <c r="J62" i="19"/>
  <c r="J63" i="19"/>
  <c r="J64" i="19"/>
  <c r="F65" i="19"/>
  <c r="J65" i="19"/>
  <c r="J56" i="19" s="1"/>
  <c r="J55" i="19" s="1"/>
  <c r="J66" i="19"/>
  <c r="J67" i="19"/>
  <c r="J68" i="19"/>
  <c r="J69" i="19"/>
  <c r="J70" i="19"/>
  <c r="J71" i="19"/>
  <c r="J72" i="19"/>
  <c r="J73" i="19"/>
  <c r="J74" i="19"/>
  <c r="J75" i="19"/>
  <c r="J76" i="19"/>
  <c r="J77" i="19"/>
  <c r="J78" i="19"/>
  <c r="J79" i="19"/>
  <c r="J80" i="19"/>
  <c r="J81" i="19"/>
  <c r="J82" i="19"/>
  <c r="J83" i="19"/>
  <c r="J84" i="19"/>
  <c r="J85" i="19"/>
  <c r="J86" i="19"/>
  <c r="J87" i="19"/>
  <c r="J88" i="19"/>
  <c r="J89" i="19"/>
  <c r="J90" i="19"/>
  <c r="J91" i="19"/>
  <c r="J92" i="19"/>
  <c r="J93" i="19"/>
  <c r="J94" i="19"/>
  <c r="J95" i="19"/>
  <c r="J96" i="19"/>
  <c r="J97" i="19"/>
  <c r="J98" i="19"/>
  <c r="J99" i="19"/>
  <c r="J100" i="19"/>
  <c r="J101" i="19"/>
  <c r="J102" i="19"/>
  <c r="J103" i="19"/>
  <c r="J104" i="19"/>
  <c r="J105" i="19"/>
  <c r="J106" i="19"/>
  <c r="J107" i="19"/>
  <c r="J108" i="19"/>
  <c r="J109" i="19"/>
  <c r="J110" i="19"/>
  <c r="J111" i="19"/>
  <c r="F112" i="19"/>
  <c r="J112" i="19"/>
  <c r="J113" i="19"/>
  <c r="J114" i="19"/>
  <c r="J115" i="19"/>
  <c r="J116" i="19"/>
  <c r="J117" i="19"/>
  <c r="J118" i="19"/>
  <c r="J119" i="19"/>
  <c r="J120" i="19"/>
  <c r="J121" i="19"/>
  <c r="J122" i="19"/>
  <c r="J123" i="19"/>
  <c r="J124" i="19"/>
  <c r="J125" i="19"/>
  <c r="J126" i="19"/>
  <c r="J127" i="19"/>
  <c r="J128" i="19"/>
  <c r="J129" i="19"/>
  <c r="J130" i="19"/>
  <c r="J131" i="19"/>
  <c r="J135" i="19"/>
  <c r="J136" i="19"/>
  <c r="J137" i="19"/>
  <c r="J138" i="19"/>
  <c r="J139" i="19"/>
  <c r="F140" i="19"/>
  <c r="J140" i="19" s="1"/>
  <c r="J134" i="19" s="1"/>
  <c r="J141" i="19"/>
  <c r="J142" i="19"/>
  <c r="J143" i="19"/>
  <c r="F144" i="19"/>
  <c r="J144" i="19"/>
  <c r="J145" i="19"/>
  <c r="J146" i="19"/>
  <c r="J147" i="19"/>
  <c r="F148" i="19"/>
  <c r="J148" i="19"/>
  <c r="F149" i="19"/>
  <c r="J149" i="19" s="1"/>
  <c r="F150" i="19"/>
  <c r="J150" i="19"/>
  <c r="J153" i="19"/>
  <c r="J156" i="19"/>
  <c r="J157" i="19"/>
  <c r="J158" i="19"/>
  <c r="J155" i="19" s="1"/>
  <c r="J159" i="19"/>
  <c r="G162" i="19"/>
  <c r="J162" i="19"/>
  <c r="J163" i="19"/>
  <c r="J164" i="19"/>
  <c r="J165" i="19"/>
  <c r="J166" i="19"/>
  <c r="J167" i="19"/>
  <c r="J168" i="19"/>
  <c r="J169" i="19"/>
  <c r="J170" i="19"/>
  <c r="J171" i="19"/>
  <c r="J172" i="19"/>
  <c r="J173" i="19"/>
  <c r="J174" i="19"/>
  <c r="J175" i="19"/>
  <c r="J176" i="19"/>
  <c r="J177" i="19"/>
  <c r="J178" i="19"/>
  <c r="J179" i="19"/>
  <c r="J180" i="19"/>
  <c r="J181" i="19"/>
  <c r="J182" i="19"/>
  <c r="J183" i="19"/>
  <c r="J184" i="19"/>
  <c r="J185" i="19"/>
  <c r="J186" i="19"/>
  <c r="J161" i="19" s="1"/>
  <c r="J187" i="19"/>
  <c r="J188" i="19"/>
  <c r="J189" i="19"/>
  <c r="J190" i="19"/>
  <c r="J191" i="19"/>
  <c r="J192" i="19"/>
  <c r="J193" i="19"/>
  <c r="J194" i="19"/>
  <c r="J195" i="19"/>
  <c r="J196" i="19"/>
  <c r="J197" i="19"/>
  <c r="J198" i="19"/>
  <c r="J199" i="19"/>
  <c r="J200" i="19"/>
  <c r="J201" i="19"/>
  <c r="J202" i="19"/>
  <c r="J203" i="19"/>
  <c r="J204" i="19"/>
  <c r="J205" i="19"/>
  <c r="J206" i="19"/>
  <c r="J207" i="19"/>
  <c r="J208" i="19"/>
  <c r="J209" i="19"/>
  <c r="J210" i="19"/>
  <c r="J211" i="19"/>
  <c r="J212" i="19"/>
  <c r="J213" i="19"/>
  <c r="J214" i="19"/>
  <c r="J215" i="19"/>
  <c r="J216" i="19"/>
  <c r="J217" i="19"/>
  <c r="J218" i="19"/>
  <c r="J219" i="19"/>
  <c r="J220" i="19"/>
  <c r="J221" i="19"/>
  <c r="J222" i="19"/>
  <c r="J223" i="19"/>
  <c r="J224" i="19"/>
  <c r="J225" i="19"/>
  <c r="J226" i="19"/>
  <c r="J227" i="19"/>
  <c r="J228" i="19"/>
  <c r="J229" i="19"/>
  <c r="J230" i="19"/>
  <c r="J231" i="19"/>
  <c r="J232" i="19"/>
  <c r="J233" i="19"/>
  <c r="J234" i="19"/>
  <c r="J235" i="19"/>
  <c r="J236" i="19"/>
  <c r="J237" i="19"/>
  <c r="J238" i="19"/>
  <c r="J239" i="19"/>
  <c r="J240" i="19"/>
  <c r="J241" i="19"/>
  <c r="J242" i="19"/>
  <c r="J243" i="19"/>
  <c r="G247" i="19"/>
  <c r="J247" i="19" s="1"/>
  <c r="J246" i="19" s="1"/>
  <c r="J245" i="19" s="1"/>
  <c r="H247" i="19"/>
  <c r="H248" i="19"/>
  <c r="J248" i="19"/>
  <c r="F249" i="19"/>
  <c r="H249" i="19"/>
  <c r="J249" i="19"/>
  <c r="H250" i="19"/>
  <c r="J250" i="19" s="1"/>
  <c r="H251" i="19"/>
  <c r="J251" i="19"/>
  <c r="H252" i="19"/>
  <c r="J252" i="19" s="1"/>
  <c r="H253" i="19"/>
  <c r="J253" i="19"/>
  <c r="H254" i="19"/>
  <c r="J254" i="19" s="1"/>
  <c r="F255" i="19"/>
  <c r="H255" i="19"/>
  <c r="J255" i="19"/>
  <c r="H256" i="19"/>
  <c r="J256" i="19"/>
  <c r="H257" i="19"/>
  <c r="J257" i="19"/>
  <c r="H258" i="19"/>
  <c r="J258" i="19"/>
  <c r="H259" i="19"/>
  <c r="J259" i="19"/>
  <c r="H260" i="19"/>
  <c r="J260" i="19"/>
  <c r="H261" i="19"/>
  <c r="J261" i="19"/>
  <c r="H262" i="19"/>
  <c r="J262" i="19"/>
  <c r="H263" i="19"/>
  <c r="J263" i="19"/>
  <c r="H264" i="19"/>
  <c r="J264" i="19"/>
  <c r="H265" i="19"/>
  <c r="J265" i="19"/>
  <c r="H266" i="19"/>
  <c r="J266" i="19"/>
  <c r="H267" i="19"/>
  <c r="J267" i="19"/>
  <c r="H268" i="19"/>
  <c r="J268" i="19"/>
  <c r="H269" i="19"/>
  <c r="J269" i="19"/>
  <c r="H270" i="19"/>
  <c r="J270" i="19"/>
  <c r="H271" i="19"/>
  <c r="J271" i="19"/>
  <c r="H272" i="19"/>
  <c r="J272" i="19"/>
  <c r="H273" i="19"/>
  <c r="J273" i="19"/>
  <c r="H274" i="19"/>
  <c r="J274" i="19"/>
  <c r="H275" i="19"/>
  <c r="J275" i="19"/>
  <c r="H276" i="19"/>
  <c r="J276" i="19"/>
  <c r="H277" i="19"/>
  <c r="J277" i="19"/>
  <c r="H278" i="19"/>
  <c r="J278" i="19"/>
  <c r="H279" i="19"/>
  <c r="J279" i="19"/>
  <c r="H280" i="19"/>
  <c r="J280" i="19"/>
  <c r="H281" i="19"/>
  <c r="J281" i="19"/>
  <c r="H282" i="19"/>
  <c r="J282" i="19"/>
  <c r="H283" i="19"/>
  <c r="J283" i="19"/>
  <c r="H284" i="19"/>
  <c r="J284" i="19"/>
  <c r="H285" i="19"/>
  <c r="J285" i="19"/>
  <c r="H286" i="19"/>
  <c r="J286" i="19"/>
  <c r="H287" i="19"/>
  <c r="J287" i="19"/>
  <c r="H288" i="19"/>
  <c r="J288" i="19"/>
  <c r="H289" i="19"/>
  <c r="J289" i="19"/>
  <c r="H290" i="19"/>
  <c r="J290" i="19"/>
  <c r="H291" i="19"/>
  <c r="J291" i="19"/>
  <c r="H292" i="19"/>
  <c r="J292" i="19"/>
  <c r="H293" i="19"/>
  <c r="J293" i="19"/>
  <c r="H294" i="19"/>
  <c r="J294" i="19"/>
  <c r="H295" i="19"/>
  <c r="J295" i="19"/>
  <c r="H296" i="19"/>
  <c r="J296" i="19"/>
  <c r="H297" i="19"/>
  <c r="J297" i="19"/>
  <c r="H298" i="19"/>
  <c r="J298" i="19"/>
  <c r="H299" i="19"/>
  <c r="J299" i="19"/>
  <c r="H300" i="19"/>
  <c r="J300" i="19"/>
  <c r="H301" i="19"/>
  <c r="J301" i="19"/>
  <c r="F302" i="19"/>
  <c r="H302" i="19"/>
  <c r="J302" i="19"/>
  <c r="H303" i="19"/>
  <c r="J303" i="19" s="1"/>
  <c r="H304" i="19"/>
  <c r="J304" i="19"/>
  <c r="H305" i="19"/>
  <c r="J305" i="19" s="1"/>
  <c r="H306" i="19"/>
  <c r="J306" i="19"/>
  <c r="H307" i="19"/>
  <c r="J307" i="19" s="1"/>
  <c r="H308" i="19"/>
  <c r="J308" i="19"/>
  <c r="H309" i="19"/>
  <c r="J309" i="19" s="1"/>
  <c r="H310" i="19"/>
  <c r="J310" i="19"/>
  <c r="H311" i="19"/>
  <c r="J311" i="19" s="1"/>
  <c r="H312" i="19"/>
  <c r="J312" i="19"/>
  <c r="H313" i="19"/>
  <c r="J313" i="19" s="1"/>
  <c r="H314" i="19"/>
  <c r="J314" i="19"/>
  <c r="H315" i="19"/>
  <c r="J315" i="19" s="1"/>
  <c r="H316" i="19"/>
  <c r="J316" i="19"/>
  <c r="H317" i="19"/>
  <c r="J317" i="19" s="1"/>
  <c r="H318" i="19"/>
  <c r="J318" i="19"/>
  <c r="H319" i="19"/>
  <c r="J319" i="19" s="1"/>
  <c r="H320" i="19"/>
  <c r="J320" i="19"/>
  <c r="H321" i="19"/>
  <c r="J321" i="19" s="1"/>
  <c r="F322" i="19"/>
  <c r="J322" i="19"/>
  <c r="F323" i="19"/>
  <c r="J323" i="19" s="1"/>
  <c r="J325" i="19"/>
  <c r="J326" i="19"/>
  <c r="J327" i="19"/>
  <c r="J328" i="19"/>
  <c r="J329" i="19"/>
  <c r="J330" i="19"/>
  <c r="J331" i="19"/>
  <c r="J332" i="19"/>
  <c r="J334" i="19"/>
  <c r="G335" i="19"/>
  <c r="J335" i="19"/>
  <c r="J336" i="19"/>
  <c r="J337" i="19"/>
  <c r="J338" i="19"/>
  <c r="J339" i="19"/>
  <c r="J340" i="19"/>
  <c r="J341" i="19"/>
  <c r="J342" i="19"/>
  <c r="J343" i="19"/>
  <c r="J344" i="19"/>
  <c r="J345" i="19"/>
  <c r="J346" i="19"/>
  <c r="J347" i="19"/>
  <c r="J348" i="19"/>
  <c r="J349" i="19"/>
  <c r="J350" i="19"/>
  <c r="J351" i="19"/>
  <c r="J352" i="19"/>
  <c r="J353" i="19"/>
  <c r="J354" i="19"/>
  <c r="J355" i="19"/>
  <c r="J356" i="19"/>
  <c r="J357" i="19"/>
  <c r="J358" i="19"/>
  <c r="J359" i="19"/>
  <c r="J360" i="19"/>
  <c r="J361" i="19"/>
  <c r="J362" i="19"/>
  <c r="J363" i="19"/>
  <c r="J364" i="19"/>
  <c r="J365" i="19"/>
  <c r="J366" i="19"/>
  <c r="J367" i="19"/>
  <c r="J368" i="19"/>
  <c r="J369" i="19"/>
  <c r="J370" i="19"/>
  <c r="J371" i="19"/>
  <c r="J372" i="19"/>
  <c r="J373" i="19"/>
  <c r="J374" i="19"/>
  <c r="J375" i="19"/>
  <c r="J376" i="19"/>
  <c r="J377" i="19"/>
  <c r="J378" i="19"/>
  <c r="J379" i="19"/>
  <c r="J380" i="19"/>
  <c r="J381" i="19"/>
  <c r="J382" i="19"/>
  <c r="J383" i="19"/>
  <c r="J384" i="19"/>
  <c r="J385" i="19"/>
  <c r="J386" i="19"/>
  <c r="J387" i="19"/>
  <c r="J388" i="19"/>
  <c r="J389" i="19"/>
  <c r="J390" i="19"/>
  <c r="J391" i="19"/>
  <c r="J392" i="19"/>
  <c r="J393" i="19"/>
  <c r="J394" i="19"/>
  <c r="J395" i="19"/>
  <c r="J396" i="19"/>
  <c r="J397" i="19"/>
  <c r="J398" i="19"/>
  <c r="J399" i="19"/>
  <c r="J400" i="19"/>
  <c r="J401" i="19"/>
  <c r="J402" i="19"/>
  <c r="J403" i="19"/>
  <c r="J404" i="19"/>
  <c r="J405" i="19"/>
  <c r="J406" i="19"/>
  <c r="J407" i="19"/>
  <c r="J408" i="19"/>
  <c r="J409" i="19"/>
  <c r="J410" i="19"/>
  <c r="J411" i="19"/>
  <c r="J412" i="19"/>
  <c r="J413" i="19"/>
  <c r="J414" i="19"/>
  <c r="J415" i="19"/>
  <c r="J416" i="19"/>
  <c r="C422" i="19"/>
  <c r="C423" i="19"/>
  <c r="J424" i="19"/>
  <c r="J425" i="19"/>
  <c r="J423" i="19" s="1"/>
  <c r="J426" i="19"/>
  <c r="J427" i="19"/>
  <c r="J428" i="19"/>
  <c r="J429" i="19"/>
  <c r="J430" i="19"/>
  <c r="J431" i="19"/>
  <c r="J432" i="19"/>
  <c r="J433" i="19"/>
  <c r="J434" i="19"/>
  <c r="J435" i="19"/>
  <c r="F436" i="19"/>
  <c r="J436" i="19"/>
  <c r="J438" i="19"/>
  <c r="J441" i="19"/>
  <c r="J444" i="19"/>
  <c r="J443" i="19" s="1"/>
  <c r="C447" i="19"/>
  <c r="J449" i="19"/>
  <c r="J450" i="19"/>
  <c r="J451" i="19"/>
  <c r="J452" i="19"/>
  <c r="J453" i="19"/>
  <c r="C455" i="19"/>
  <c r="D455" i="19"/>
  <c r="E455" i="19"/>
  <c r="J455" i="19"/>
  <c r="E458" i="19"/>
  <c r="J458" i="19" s="1"/>
  <c r="E459" i="19"/>
  <c r="J459" i="19"/>
  <c r="E460" i="19"/>
  <c r="J460" i="19" s="1"/>
  <c r="J461" i="19"/>
  <c r="C464" i="19"/>
  <c r="D464" i="19"/>
  <c r="J464" i="19"/>
  <c r="C467" i="19"/>
  <c r="D467" i="19"/>
  <c r="C472" i="19"/>
  <c r="D472" i="19"/>
  <c r="C474" i="19"/>
  <c r="D474" i="19"/>
  <c r="J475" i="19"/>
  <c r="J476" i="19"/>
  <c r="J477" i="19"/>
  <c r="J478" i="19"/>
  <c r="J474" i="19" s="1"/>
  <c r="J479" i="19"/>
  <c r="F480" i="19"/>
  <c r="J480" i="19"/>
  <c r="J481" i="19"/>
  <c r="J482" i="19"/>
  <c r="J483" i="19"/>
  <c r="F484" i="19"/>
  <c r="J484" i="19"/>
  <c r="J485" i="19"/>
  <c r="J486" i="19"/>
  <c r="J487" i="19"/>
  <c r="F488" i="19"/>
  <c r="J488" i="19" s="1"/>
  <c r="J489" i="19"/>
  <c r="J490" i="19"/>
  <c r="J491" i="19"/>
  <c r="J492" i="19"/>
  <c r="J493" i="19"/>
  <c r="J494" i="19"/>
  <c r="J495" i="19"/>
  <c r="C498" i="19"/>
  <c r="C500" i="19"/>
  <c r="D500" i="19"/>
  <c r="C503" i="19"/>
  <c r="D503" i="19"/>
  <c r="J503" i="19"/>
  <c r="J504" i="19"/>
  <c r="J505" i="19"/>
  <c r="C507" i="19"/>
  <c r="D507" i="19"/>
  <c r="J508" i="19"/>
  <c r="J509" i="19"/>
  <c r="J510" i="19"/>
  <c r="J511" i="19"/>
  <c r="J512" i="19"/>
  <c r="J513" i="19"/>
  <c r="J514" i="19"/>
  <c r="J515" i="19"/>
  <c r="J516" i="19"/>
  <c r="J517" i="19"/>
  <c r="J518" i="19"/>
  <c r="J519" i="19"/>
  <c r="J520" i="19"/>
  <c r="J521" i="19"/>
  <c r="J522" i="19"/>
  <c r="J523" i="19"/>
  <c r="J524" i="19"/>
  <c r="J525" i="19"/>
  <c r="J526" i="19"/>
  <c r="J527" i="19"/>
  <c r="C530" i="19"/>
  <c r="D530" i="19"/>
  <c r="C533" i="19"/>
  <c r="D533" i="19"/>
  <c r="G534" i="19"/>
  <c r="J534" i="19"/>
  <c r="J535" i="19"/>
  <c r="J536" i="19"/>
  <c r="J533" i="19" s="1"/>
  <c r="J537" i="19"/>
  <c r="J538" i="19"/>
  <c r="J539" i="19"/>
  <c r="J540" i="19"/>
  <c r="J541" i="19"/>
  <c r="F542" i="19"/>
  <c r="J542" i="19"/>
  <c r="J543" i="19"/>
  <c r="J544" i="19"/>
  <c r="J545" i="19"/>
  <c r="J546" i="19"/>
  <c r="J547" i="19"/>
  <c r="J548" i="19"/>
  <c r="J549" i="19"/>
  <c r="J550" i="19"/>
  <c r="J551" i="19"/>
  <c r="J552" i="19"/>
  <c r="J553" i="19"/>
  <c r="J554" i="19"/>
  <c r="J555" i="19"/>
  <c r="J556" i="19"/>
  <c r="J557" i="19"/>
  <c r="J558" i="19"/>
  <c r="J559" i="19"/>
  <c r="J560" i="19"/>
  <c r="J561" i="19"/>
  <c r="J562" i="19"/>
  <c r="J563" i="19"/>
  <c r="J564" i="19"/>
  <c r="J565" i="19"/>
  <c r="J566" i="19"/>
  <c r="J567" i="19"/>
  <c r="J568" i="19"/>
  <c r="J569" i="19"/>
  <c r="J570" i="19"/>
  <c r="J571" i="19"/>
  <c r="J572" i="19"/>
  <c r="J573" i="19"/>
  <c r="J574" i="19"/>
  <c r="J575" i="19"/>
  <c r="J576" i="19"/>
  <c r="J577" i="19"/>
  <c r="J578" i="19"/>
  <c r="J579" i="19"/>
  <c r="J580" i="19"/>
  <c r="J581" i="19"/>
  <c r="J582" i="19"/>
  <c r="J583" i="19"/>
  <c r="J584" i="19"/>
  <c r="J585" i="19"/>
  <c r="J586" i="19"/>
  <c r="J587" i="19"/>
  <c r="J588" i="19"/>
  <c r="F589" i="19"/>
  <c r="J589" i="19"/>
  <c r="J590" i="19"/>
  <c r="J591" i="19"/>
  <c r="J592" i="19"/>
  <c r="J593" i="19"/>
  <c r="J594" i="19"/>
  <c r="J595" i="19"/>
  <c r="J596" i="19"/>
  <c r="J597" i="19"/>
  <c r="J598" i="19"/>
  <c r="J599" i="19"/>
  <c r="J600" i="19"/>
  <c r="J601" i="19"/>
  <c r="J602" i="19"/>
  <c r="J603" i="19"/>
  <c r="J605" i="19"/>
  <c r="J606" i="19"/>
  <c r="J607" i="19"/>
  <c r="J608" i="19"/>
  <c r="J609" i="19"/>
  <c r="J610" i="19"/>
  <c r="F611" i="19"/>
  <c r="J611" i="19" s="1"/>
  <c r="J612" i="19"/>
  <c r="J613" i="19"/>
  <c r="J614" i="19"/>
  <c r="F615" i="19"/>
  <c r="J615" i="19"/>
  <c r="J616" i="19"/>
  <c r="J617" i="19"/>
  <c r="J618" i="19"/>
  <c r="F619" i="19"/>
  <c r="J619" i="19"/>
  <c r="J620" i="19"/>
  <c r="J621" i="19"/>
  <c r="J622" i="19"/>
  <c r="J623" i="19"/>
  <c r="J624" i="19"/>
  <c r="J625" i="19"/>
  <c r="J626" i="19"/>
  <c r="C628" i="19"/>
  <c r="D628" i="19"/>
  <c r="J629" i="19"/>
  <c r="J630" i="19"/>
  <c r="J631" i="19"/>
  <c r="J628" i="19" s="1"/>
  <c r="J632" i="19"/>
  <c r="J633" i="19"/>
  <c r="J634" i="19"/>
  <c r="C636" i="19"/>
  <c r="D636" i="19"/>
  <c r="J638" i="19"/>
  <c r="J637" i="19" s="1"/>
  <c r="J639" i="19"/>
  <c r="J640" i="19"/>
  <c r="J641" i="19"/>
  <c r="J642" i="19"/>
  <c r="J643" i="19"/>
  <c r="J644" i="19"/>
  <c r="J645" i="19"/>
  <c r="J647" i="19"/>
  <c r="J648" i="19"/>
  <c r="J649" i="19"/>
  <c r="C651" i="19"/>
  <c r="D651" i="19"/>
  <c r="G653" i="19"/>
  <c r="J653" i="19"/>
  <c r="J654" i="19"/>
  <c r="F655" i="19"/>
  <c r="J655" i="19"/>
  <c r="J656" i="19"/>
  <c r="J657" i="19"/>
  <c r="J658" i="19"/>
  <c r="J659" i="19"/>
  <c r="J660" i="19"/>
  <c r="F661" i="19"/>
  <c r="J661" i="19" s="1"/>
  <c r="J662" i="19"/>
  <c r="J663" i="19"/>
  <c r="J664" i="19"/>
  <c r="J665" i="19"/>
  <c r="J666" i="19"/>
  <c r="J667" i="19"/>
  <c r="J668" i="19"/>
  <c r="J669" i="19"/>
  <c r="J670" i="19"/>
  <c r="J671" i="19"/>
  <c r="J672" i="19"/>
  <c r="J673" i="19"/>
  <c r="J674" i="19"/>
  <c r="J675" i="19"/>
  <c r="J676" i="19"/>
  <c r="J677" i="19"/>
  <c r="J678" i="19"/>
  <c r="J679" i="19"/>
  <c r="J680" i="19"/>
  <c r="J681" i="19"/>
  <c r="J682" i="19"/>
  <c r="J683" i="19"/>
  <c r="J684" i="19"/>
  <c r="J685" i="19"/>
  <c r="J686" i="19"/>
  <c r="J687" i="19"/>
  <c r="J688" i="19"/>
  <c r="J689" i="19"/>
  <c r="J690" i="19"/>
  <c r="J691" i="19"/>
  <c r="J692" i="19"/>
  <c r="J693" i="19"/>
  <c r="J694" i="19"/>
  <c r="J695" i="19"/>
  <c r="J696" i="19"/>
  <c r="J697" i="19"/>
  <c r="J698" i="19"/>
  <c r="J699" i="19"/>
  <c r="J700" i="19"/>
  <c r="J701" i="19"/>
  <c r="J702" i="19"/>
  <c r="J703" i="19"/>
  <c r="J704" i="19"/>
  <c r="J705" i="19"/>
  <c r="J706" i="19"/>
  <c r="J707" i="19"/>
  <c r="F708" i="19"/>
  <c r="J708" i="19" s="1"/>
  <c r="J709" i="19"/>
  <c r="J710" i="19"/>
  <c r="J711" i="19"/>
  <c r="J712" i="19"/>
  <c r="J713" i="19"/>
  <c r="J714" i="19"/>
  <c r="J715" i="19"/>
  <c r="J716" i="19"/>
  <c r="J717" i="19"/>
  <c r="J718" i="19"/>
  <c r="J719" i="19"/>
  <c r="J720" i="19"/>
  <c r="J721" i="19"/>
  <c r="J722" i="19"/>
  <c r="J723" i="19"/>
  <c r="J724" i="19"/>
  <c r="J725" i="19"/>
  <c r="J726" i="19"/>
  <c r="J727" i="19"/>
  <c r="F729" i="19"/>
  <c r="J729" i="19"/>
  <c r="F730" i="19"/>
  <c r="J730" i="19" s="1"/>
  <c r="J732" i="19"/>
  <c r="J733" i="19"/>
  <c r="J734" i="19"/>
  <c r="J735" i="19"/>
  <c r="J736" i="19"/>
  <c r="J737" i="19"/>
  <c r="J738" i="19"/>
  <c r="J739" i="19"/>
  <c r="G742" i="19"/>
  <c r="J742" i="19"/>
  <c r="J743" i="19"/>
  <c r="J744" i="19"/>
  <c r="J741" i="19" s="1"/>
  <c r="J745" i="19"/>
  <c r="J746" i="19"/>
  <c r="J747" i="19"/>
  <c r="J748" i="19"/>
  <c r="J749" i="19"/>
  <c r="J750" i="19"/>
  <c r="J751" i="19"/>
  <c r="J752" i="19"/>
  <c r="J753" i="19"/>
  <c r="J754" i="19"/>
  <c r="J755" i="19"/>
  <c r="J756" i="19"/>
  <c r="J757" i="19"/>
  <c r="J758" i="19"/>
  <c r="J759" i="19"/>
  <c r="J760" i="19"/>
  <c r="J761" i="19"/>
  <c r="J762" i="19"/>
  <c r="J763" i="19"/>
  <c r="J764" i="19"/>
  <c r="J765" i="19"/>
  <c r="J766" i="19"/>
  <c r="J767" i="19"/>
  <c r="J768" i="19"/>
  <c r="J769" i="19"/>
  <c r="J770" i="19"/>
  <c r="J771" i="19"/>
  <c r="J772" i="19"/>
  <c r="J773" i="19"/>
  <c r="J774" i="19"/>
  <c r="J775" i="19"/>
  <c r="J776" i="19"/>
  <c r="J777" i="19"/>
  <c r="J778" i="19"/>
  <c r="J779" i="19"/>
  <c r="J780" i="19"/>
  <c r="J781" i="19"/>
  <c r="J782" i="19"/>
  <c r="J783" i="19"/>
  <c r="J784" i="19"/>
  <c r="J785" i="19"/>
  <c r="J786" i="19"/>
  <c r="J787" i="19"/>
  <c r="J788" i="19"/>
  <c r="J789" i="19"/>
  <c r="J790" i="19"/>
  <c r="J791" i="19"/>
  <c r="J792" i="19"/>
  <c r="J793" i="19"/>
  <c r="J794" i="19"/>
  <c r="J795" i="19"/>
  <c r="J796" i="19"/>
  <c r="J797" i="19"/>
  <c r="J798" i="19"/>
  <c r="J799" i="19"/>
  <c r="J800" i="19"/>
  <c r="J801" i="19"/>
  <c r="J802" i="19"/>
  <c r="J803" i="19"/>
  <c r="J804" i="19"/>
  <c r="J805" i="19"/>
  <c r="J806" i="19"/>
  <c r="J807" i="19"/>
  <c r="J808" i="19"/>
  <c r="J809" i="19"/>
  <c r="J810" i="19"/>
  <c r="J811" i="19"/>
  <c r="J812" i="19"/>
  <c r="J813" i="19"/>
  <c r="J814" i="19"/>
  <c r="J815" i="19"/>
  <c r="J816" i="19"/>
  <c r="J817" i="19"/>
  <c r="J818" i="19"/>
  <c r="J819" i="19"/>
  <c r="J820" i="19"/>
  <c r="J821" i="19"/>
  <c r="J822" i="19"/>
  <c r="J823" i="19"/>
  <c r="C833" i="19"/>
  <c r="D833" i="19"/>
  <c r="J834" i="19"/>
  <c r="J835" i="19"/>
  <c r="J836" i="19"/>
  <c r="J837" i="19"/>
  <c r="J833" i="19" s="1"/>
  <c r="J838" i="19"/>
  <c r="C844" i="19"/>
  <c r="C845" i="19"/>
  <c r="C846" i="19"/>
  <c r="D846" i="19"/>
  <c r="J847" i="19"/>
  <c r="J848" i="19"/>
  <c r="J846" i="19" s="1"/>
  <c r="J849" i="19"/>
  <c r="J850" i="19"/>
  <c r="J851" i="19"/>
  <c r="J852" i="19"/>
  <c r="J853" i="19"/>
  <c r="J854" i="19"/>
  <c r="J855" i="19"/>
  <c r="F856" i="19"/>
  <c r="J856" i="19" s="1"/>
  <c r="J857" i="19"/>
  <c r="J858" i="19"/>
  <c r="J859" i="19"/>
  <c r="J860" i="19"/>
  <c r="J861" i="19"/>
  <c r="J862" i="19"/>
  <c r="J863" i="19"/>
  <c r="J864" i="19"/>
  <c r="J865" i="19"/>
  <c r="J866" i="19"/>
  <c r="J867" i="19"/>
  <c r="C870" i="19"/>
  <c r="C871" i="19"/>
  <c r="D871" i="19"/>
  <c r="D872" i="19"/>
  <c r="C873" i="19"/>
  <c r="D873" i="19"/>
  <c r="C874" i="19"/>
  <c r="D874" i="19"/>
  <c r="C875" i="19"/>
  <c r="D875" i="19"/>
  <c r="C876" i="19"/>
  <c r="D876" i="19"/>
  <c r="C877" i="19"/>
  <c r="D877" i="19"/>
  <c r="C878" i="19"/>
  <c r="C879" i="19"/>
  <c r="D879" i="19"/>
  <c r="C880" i="19"/>
  <c r="D880" i="19"/>
  <c r="C881" i="19"/>
  <c r="D881" i="19"/>
  <c r="C882" i="19"/>
  <c r="D882" i="19"/>
  <c r="C883" i="19"/>
  <c r="C884" i="19"/>
  <c r="D884" i="19"/>
  <c r="C885" i="19"/>
  <c r="D885" i="19"/>
  <c r="C886" i="19"/>
  <c r="D886" i="19"/>
  <c r="C891" i="19"/>
  <c r="D891" i="19"/>
  <c r="C893" i="19"/>
  <c r="D893" i="19"/>
  <c r="J893" i="19"/>
  <c r="H91" i="9" l="1"/>
  <c r="K91" i="9" s="1"/>
  <c r="K79" i="9"/>
  <c r="G79" i="9"/>
  <c r="H97" i="9"/>
  <c r="K97" i="9" s="1"/>
  <c r="H75" i="9"/>
  <c r="K87" i="9"/>
  <c r="G75" i="9"/>
  <c r="G102" i="9" s="1"/>
  <c r="H85" i="9"/>
  <c r="K85" i="9" s="1"/>
  <c r="K81" i="9"/>
  <c r="F102" i="9"/>
  <c r="H93" i="9"/>
  <c r="K93" i="9" s="1"/>
  <c r="H83" i="9"/>
  <c r="D102" i="9"/>
  <c r="G433" i="1"/>
  <c r="G372" i="1"/>
  <c r="G371" i="1"/>
  <c r="J831" i="19"/>
  <c r="J827" i="19"/>
  <c r="J636" i="19"/>
  <c r="J728" i="19"/>
  <c r="J469" i="19"/>
  <c r="J418" i="19"/>
  <c r="J255" i="20"/>
  <c r="G287" i="20" s="1"/>
  <c r="G291" i="20" s="1"/>
  <c r="G292" i="20" s="1"/>
  <c r="J507" i="19"/>
  <c r="J501" i="19"/>
  <c r="J500" i="19" s="1"/>
  <c r="J531" i="19"/>
  <c r="J530" i="19" s="1"/>
  <c r="G293" i="20"/>
  <c r="J468" i="19"/>
  <c r="J467" i="19" s="1"/>
  <c r="J652" i="19"/>
  <c r="J457" i="19"/>
  <c r="G407" i="20"/>
  <c r="J199" i="20"/>
  <c r="G230" i="20" s="1"/>
  <c r="G234" i="20" s="1"/>
  <c r="G235" i="20" s="1"/>
  <c r="G236" i="20" s="1"/>
  <c r="J29" i="20"/>
  <c r="G60" i="20" s="1"/>
  <c r="G64" i="20" s="1"/>
  <c r="G65" i="20" s="1"/>
  <c r="J444" i="20"/>
  <c r="G457" i="20" s="1"/>
  <c r="G462" i="20" s="1"/>
  <c r="J333" i="20"/>
  <c r="G346" i="20" s="1"/>
  <c r="G351" i="20" s="1"/>
  <c r="J498" i="20"/>
  <c r="G511" i="20" s="1"/>
  <c r="G516" i="20" s="1"/>
  <c r="G180" i="20"/>
  <c r="J83" i="20"/>
  <c r="G117" i="20" s="1"/>
  <c r="G121" i="20" s="1"/>
  <c r="G122" i="20" s="1"/>
  <c r="G123" i="20" s="1"/>
  <c r="F103" i="9" l="1"/>
  <c r="G103" i="9" s="1"/>
  <c r="H103" i="9" s="1"/>
  <c r="K75" i="9"/>
  <c r="K102" i="9" s="1"/>
  <c r="H102" i="9"/>
  <c r="K83" i="9"/>
  <c r="G374" i="1"/>
  <c r="G373" i="1"/>
  <c r="G237" i="20"/>
  <c r="G238" i="20" s="1"/>
  <c r="G125" i="20"/>
  <c r="G124" i="20"/>
  <c r="G463" i="20"/>
  <c r="G464" i="20" s="1"/>
  <c r="G408" i="20"/>
  <c r="G409" i="20" s="1"/>
  <c r="G517" i="20"/>
  <c r="G518" i="20"/>
  <c r="J472" i="19"/>
  <c r="G352" i="20"/>
  <c r="G353" i="20"/>
  <c r="G294" i="20"/>
  <c r="G295" i="20" s="1"/>
  <c r="G182" i="20"/>
  <c r="G181" i="20"/>
  <c r="J419" i="19"/>
  <c r="G66" i="20"/>
  <c r="J825" i="19"/>
  <c r="J829" i="19"/>
  <c r="G67" i="20" l="1"/>
  <c r="G68" i="20" s="1"/>
  <c r="K67" i="9" l="1"/>
  <c r="K65" i="9"/>
  <c r="I319" i="1" l="1"/>
  <c r="J319" i="1" s="1"/>
  <c r="J318" i="1" s="1"/>
  <c r="D67" i="9" s="1"/>
  <c r="J68" i="9" s="1"/>
  <c r="K68" i="9" s="1"/>
  <c r="J496" i="13" l="1"/>
  <c r="J495" i="13"/>
  <c r="J494" i="13"/>
  <c r="J493" i="13"/>
  <c r="J492" i="13"/>
  <c r="G312" i="1" s="1"/>
  <c r="J490" i="13"/>
  <c r="J489" i="13"/>
  <c r="J488" i="13"/>
  <c r="J487" i="13"/>
  <c r="J486" i="13" s="1"/>
  <c r="G311" i="1" s="1"/>
  <c r="J484" i="13"/>
  <c r="J483" i="13"/>
  <c r="J482" i="13" s="1"/>
  <c r="G310" i="1" s="1"/>
  <c r="J480" i="13"/>
  <c r="J479" i="13"/>
  <c r="J478" i="13"/>
  <c r="J477" i="13"/>
  <c r="J474" i="13"/>
  <c r="J473" i="13"/>
  <c r="J472" i="13"/>
  <c r="J471" i="13"/>
  <c r="J470" i="13" s="1"/>
  <c r="G308" i="1" s="1"/>
  <c r="J468" i="13"/>
  <c r="J467" i="13"/>
  <c r="I1183" i="15"/>
  <c r="J1183" i="15" s="1"/>
  <c r="G1078" i="15"/>
  <c r="I1078" i="15" s="1"/>
  <c r="I1079" i="15"/>
  <c r="F1219" i="15"/>
  <c r="J1215" i="15"/>
  <c r="G1221" i="15" s="1"/>
  <c r="I1192" i="15"/>
  <c r="J1192" i="15" s="1"/>
  <c r="I1184" i="15"/>
  <c r="J1184" i="15" s="1"/>
  <c r="J464" i="13"/>
  <c r="J463" i="13"/>
  <c r="J462" i="13"/>
  <c r="J461" i="13"/>
  <c r="J460" i="13" s="1"/>
  <c r="G306" i="1" s="1"/>
  <c r="J476" i="13" l="1"/>
  <c r="G309" i="1" s="1"/>
  <c r="J466" i="13"/>
  <c r="G307" i="1" s="1"/>
  <c r="F502" i="13"/>
  <c r="J502" i="13" s="1"/>
  <c r="J501" i="13" s="1"/>
  <c r="G314" i="1" s="1"/>
  <c r="F499" i="13"/>
  <c r="J499" i="13" s="1"/>
  <c r="J498" i="13" s="1"/>
  <c r="G313" i="1" s="1"/>
  <c r="J1207" i="15"/>
  <c r="G1220" i="15" s="1"/>
  <c r="J1189" i="15"/>
  <c r="G1219" i="15" s="1"/>
  <c r="G1223" i="15" s="1"/>
  <c r="G1224" i="15" s="1"/>
  <c r="G1225" i="15" l="1"/>
  <c r="H307" i="1" l="1"/>
  <c r="F438" i="15"/>
  <c r="F174" i="15"/>
  <c r="F227" i="15"/>
  <c r="F280" i="15"/>
  <c r="J335" i="13" l="1"/>
  <c r="J315" i="13"/>
  <c r="G62" i="15" l="1"/>
  <c r="I158" i="15" l="1"/>
  <c r="J158" i="15" s="1"/>
  <c r="I264" i="15"/>
  <c r="J264" i="15" s="1"/>
  <c r="I211" i="15"/>
  <c r="J211" i="15" s="1"/>
  <c r="I63" i="1"/>
  <c r="I301" i="1"/>
  <c r="E447" i="13"/>
  <c r="G290" i="1" s="1"/>
  <c r="G289" i="1"/>
  <c r="J446" i="13"/>
  <c r="I85" i="1"/>
  <c r="F892" i="15"/>
  <c r="F834" i="15"/>
  <c r="F776" i="15"/>
  <c r="F385" i="15"/>
  <c r="F327" i="15"/>
  <c r="I240" i="15"/>
  <c r="G239" i="15"/>
  <c r="I239" i="15" s="1"/>
  <c r="I187" i="15"/>
  <c r="G186" i="15"/>
  <c r="I186" i="15" s="1"/>
  <c r="I134" i="15"/>
  <c r="G133" i="15"/>
  <c r="I133" i="15" s="1"/>
  <c r="B35" i="16" l="1"/>
  <c r="B36" i="16"/>
  <c r="B37" i="16"/>
  <c r="B38" i="16"/>
  <c r="B39" i="16"/>
  <c r="B40" i="16"/>
  <c r="J148" i="13" l="1"/>
  <c r="J147" i="13"/>
  <c r="J146" i="13"/>
  <c r="J149" i="13"/>
  <c r="J145" i="13"/>
  <c r="J144" i="13"/>
  <c r="J143" i="13"/>
  <c r="J131" i="13"/>
  <c r="J142" i="13"/>
  <c r="J141" i="13"/>
  <c r="J140" i="13"/>
  <c r="J139" i="13"/>
  <c r="J138" i="13"/>
  <c r="J132" i="13"/>
  <c r="J133" i="13"/>
  <c r="J134" i="13"/>
  <c r="J135" i="13"/>
  <c r="J136" i="13"/>
  <c r="J137" i="13"/>
  <c r="J130" i="13"/>
  <c r="I904" i="15"/>
  <c r="I962" i="15"/>
  <c r="I1020" i="15"/>
  <c r="I1131" i="15"/>
  <c r="J1131" i="15" s="1"/>
  <c r="I1145" i="15"/>
  <c r="J1145" i="15" s="1"/>
  <c r="I1144" i="15"/>
  <c r="J1144" i="15" s="1"/>
  <c r="I1143" i="15"/>
  <c r="J1143" i="15" s="1"/>
  <c r="I1142" i="15"/>
  <c r="J1142" i="15" s="1"/>
  <c r="I1132" i="15"/>
  <c r="J1132" i="15" s="1"/>
  <c r="I1140" i="15"/>
  <c r="J1140" i="15" s="1"/>
  <c r="I1141" i="15"/>
  <c r="J1141" i="15" s="1"/>
  <c r="J1160" i="15"/>
  <c r="G1166" i="15" s="1"/>
  <c r="F1164" i="15"/>
  <c r="J1079" i="15"/>
  <c r="J1078" i="15"/>
  <c r="F1112" i="15"/>
  <c r="J1108" i="15"/>
  <c r="G1114" i="15" s="1"/>
  <c r="I1088" i="15"/>
  <c r="J1088" i="15" s="1"/>
  <c r="I1087" i="15"/>
  <c r="J1087" i="15" s="1"/>
  <c r="G39" i="13"/>
  <c r="F39" i="13"/>
  <c r="G38" i="13"/>
  <c r="F38" i="13"/>
  <c r="G427" i="13"/>
  <c r="J427" i="13" s="1"/>
  <c r="G426" i="13"/>
  <c r="J426" i="13" s="1"/>
  <c r="F56" i="13"/>
  <c r="F55" i="13"/>
  <c r="F54" i="13"/>
  <c r="F53" i="13"/>
  <c r="F80" i="13"/>
  <c r="F79" i="13"/>
  <c r="F78" i="13"/>
  <c r="F77" i="13"/>
  <c r="G164" i="13"/>
  <c r="J170" i="13"/>
  <c r="J169" i="13"/>
  <c r="J168" i="13"/>
  <c r="E42" i="16"/>
  <c r="J39" i="13" l="1"/>
  <c r="J129" i="13"/>
  <c r="J38" i="13"/>
  <c r="J37" i="13" s="1"/>
  <c r="J1152" i="15"/>
  <c r="G1165" i="15" s="1"/>
  <c r="J1137" i="15"/>
  <c r="G1164" i="15" s="1"/>
  <c r="G1168" i="15" s="1"/>
  <c r="G1169" i="15" s="1"/>
  <c r="J1100" i="15"/>
  <c r="G1113" i="15" s="1"/>
  <c r="J1084" i="15"/>
  <c r="G1112" i="15" s="1"/>
  <c r="G1116" i="15" s="1"/>
  <c r="G1117" i="15" s="1"/>
  <c r="J420" i="13"/>
  <c r="G244" i="1" s="1"/>
  <c r="F1059" i="15"/>
  <c r="J1055" i="15"/>
  <c r="G1061" i="15" s="1"/>
  <c r="I1030" i="15"/>
  <c r="J1030" i="15" s="1"/>
  <c r="I1029" i="15"/>
  <c r="J1029" i="15" s="1"/>
  <c r="I1022" i="15"/>
  <c r="J1022" i="15" s="1"/>
  <c r="I1021" i="15"/>
  <c r="J1021" i="15" s="1"/>
  <c r="J1020" i="15"/>
  <c r="F1001" i="15"/>
  <c r="J997" i="15"/>
  <c r="G1003" i="15" s="1"/>
  <c r="I972" i="15"/>
  <c r="J972" i="15" s="1"/>
  <c r="I971" i="15"/>
  <c r="J971" i="15" s="1"/>
  <c r="I964" i="15"/>
  <c r="J964" i="15" s="1"/>
  <c r="I963" i="15"/>
  <c r="J963" i="15" s="1"/>
  <c r="J962" i="15"/>
  <c r="F943" i="15"/>
  <c r="J939" i="15"/>
  <c r="G945" i="15" s="1"/>
  <c r="I914" i="15"/>
  <c r="J914" i="15" s="1"/>
  <c r="I913" i="15"/>
  <c r="J913" i="15" s="1"/>
  <c r="I906" i="15"/>
  <c r="J906" i="15" s="1"/>
  <c r="I905" i="15"/>
  <c r="J905" i="15" s="1"/>
  <c r="J904" i="15"/>
  <c r="I846" i="15"/>
  <c r="J846" i="15" s="1"/>
  <c r="I788" i="15"/>
  <c r="J788" i="15" s="1"/>
  <c r="I730" i="15"/>
  <c r="J730" i="15" s="1"/>
  <c r="F885" i="15"/>
  <c r="J881" i="15"/>
  <c r="G887" i="15" s="1"/>
  <c r="I856" i="15"/>
  <c r="J856" i="15" s="1"/>
  <c r="I855" i="15"/>
  <c r="J855" i="15" s="1"/>
  <c r="I848" i="15"/>
  <c r="J848" i="15" s="1"/>
  <c r="I847" i="15"/>
  <c r="J847" i="15" s="1"/>
  <c r="F827" i="15"/>
  <c r="J823" i="15"/>
  <c r="G829" i="15" s="1"/>
  <c r="I798" i="15"/>
  <c r="J798" i="15" s="1"/>
  <c r="I797" i="15"/>
  <c r="J797" i="15" s="1"/>
  <c r="I790" i="15"/>
  <c r="J790" i="15" s="1"/>
  <c r="I789" i="15"/>
  <c r="J789" i="15" s="1"/>
  <c r="F769" i="15"/>
  <c r="J765" i="15"/>
  <c r="G771" i="15" s="1"/>
  <c r="I740" i="15"/>
  <c r="J740" i="15" s="1"/>
  <c r="I739" i="15"/>
  <c r="J739" i="15" s="1"/>
  <c r="I732" i="15"/>
  <c r="J732" i="15" s="1"/>
  <c r="I731" i="15"/>
  <c r="J731" i="15" s="1"/>
  <c r="F711" i="15"/>
  <c r="J707" i="15"/>
  <c r="G713" i="15" s="1"/>
  <c r="I684" i="15"/>
  <c r="J684" i="15" s="1"/>
  <c r="I683" i="15"/>
  <c r="J683" i="15" s="1"/>
  <c r="I676" i="15"/>
  <c r="J676" i="15" s="1"/>
  <c r="G675" i="15"/>
  <c r="I675" i="15" s="1"/>
  <c r="J675" i="15" s="1"/>
  <c r="G674" i="15"/>
  <c r="I674" i="15" s="1"/>
  <c r="J674" i="15" s="1"/>
  <c r="F655" i="15"/>
  <c r="J651" i="15"/>
  <c r="G657" i="15" s="1"/>
  <c r="I626" i="15"/>
  <c r="J626" i="15" s="1"/>
  <c r="I625" i="15"/>
  <c r="J625" i="15" s="1"/>
  <c r="I618" i="15"/>
  <c r="J618" i="15" s="1"/>
  <c r="G617" i="15"/>
  <c r="I617" i="15" s="1"/>
  <c r="J617" i="15" s="1"/>
  <c r="G616" i="15"/>
  <c r="I616" i="15" s="1"/>
  <c r="J616" i="15" s="1"/>
  <c r="G560" i="15"/>
  <c r="I560" i="15" s="1"/>
  <c r="J560" i="15" s="1"/>
  <c r="G559" i="15"/>
  <c r="I559" i="15" s="1"/>
  <c r="J559" i="15" s="1"/>
  <c r="F597" i="15"/>
  <c r="J593" i="15"/>
  <c r="G599" i="15" s="1"/>
  <c r="I569" i="15"/>
  <c r="J569" i="15" s="1"/>
  <c r="I568" i="15"/>
  <c r="J568" i="15" s="1"/>
  <c r="I561" i="15"/>
  <c r="J561" i="15" s="1"/>
  <c r="J409" i="13"/>
  <c r="G198" i="1" s="1"/>
  <c r="J375" i="13"/>
  <c r="J376" i="13"/>
  <c r="J374" i="13"/>
  <c r="J260" i="13"/>
  <c r="J261" i="13"/>
  <c r="J262" i="13"/>
  <c r="J263" i="13"/>
  <c r="J264" i="13"/>
  <c r="J265" i="13"/>
  <c r="J266" i="13"/>
  <c r="J267" i="13"/>
  <c r="J268" i="13"/>
  <c r="J269" i="13"/>
  <c r="J270" i="13"/>
  <c r="J271" i="13"/>
  <c r="J272" i="13"/>
  <c r="J273" i="13"/>
  <c r="J274" i="13"/>
  <c r="J275" i="13"/>
  <c r="J276" i="13"/>
  <c r="J277" i="13"/>
  <c r="J278" i="13"/>
  <c r="J279" i="13"/>
  <c r="J259" i="13"/>
  <c r="F540" i="15"/>
  <c r="J536" i="15"/>
  <c r="G542" i="15" s="1"/>
  <c r="I515" i="15"/>
  <c r="J515" i="15" s="1"/>
  <c r="I514" i="15"/>
  <c r="J514" i="15" s="1"/>
  <c r="I507" i="15"/>
  <c r="J507" i="15" s="1"/>
  <c r="I506" i="15"/>
  <c r="J506" i="15" s="1"/>
  <c r="G505" i="15"/>
  <c r="I505" i="15" s="1"/>
  <c r="J505" i="15" s="1"/>
  <c r="G25" i="15"/>
  <c r="G24" i="15"/>
  <c r="G23" i="15"/>
  <c r="G450" i="15"/>
  <c r="I450" i="15" s="1"/>
  <c r="J450" i="15" s="1"/>
  <c r="G79" i="15"/>
  <c r="G397" i="15"/>
  <c r="G78" i="15"/>
  <c r="I78" i="15" s="1"/>
  <c r="F486" i="15"/>
  <c r="J482" i="15"/>
  <c r="G488" i="15" s="1"/>
  <c r="I460" i="15"/>
  <c r="J460" i="15" s="1"/>
  <c r="I459" i="15"/>
  <c r="J459" i="15" s="1"/>
  <c r="I452" i="15"/>
  <c r="J452" i="15" s="1"/>
  <c r="I451" i="15"/>
  <c r="J451" i="15" s="1"/>
  <c r="J365" i="13"/>
  <c r="J364" i="13"/>
  <c r="J363" i="13"/>
  <c r="J362" i="13"/>
  <c r="J361" i="13"/>
  <c r="J360" i="13"/>
  <c r="J359" i="13"/>
  <c r="J358" i="13"/>
  <c r="J367" i="13"/>
  <c r="J528" i="15" l="1"/>
  <c r="G541" i="15" s="1"/>
  <c r="G1170" i="15"/>
  <c r="G1118" i="15"/>
  <c r="J1047" i="15"/>
  <c r="G1060" i="15" s="1"/>
  <c r="J373" i="13"/>
  <c r="G102" i="1" s="1"/>
  <c r="J357" i="13"/>
  <c r="J258" i="13"/>
  <c r="G82" i="1" s="1"/>
  <c r="J968" i="15"/>
  <c r="G1001" i="15" s="1"/>
  <c r="G1005" i="15" s="1"/>
  <c r="G1006" i="15" s="1"/>
  <c r="J1026" i="15"/>
  <c r="G1059" i="15" s="1"/>
  <c r="G1063" i="15" s="1"/>
  <c r="G1064" i="15" s="1"/>
  <c r="J643" i="15"/>
  <c r="G656" i="15" s="1"/>
  <c r="J757" i="15"/>
  <c r="G770" i="15" s="1"/>
  <c r="J794" i="15"/>
  <c r="G827" i="15" s="1"/>
  <c r="G831" i="15" s="1"/>
  <c r="G832" i="15" s="1"/>
  <c r="J873" i="15"/>
  <c r="G886" i="15" s="1"/>
  <c r="J511" i="15"/>
  <c r="G540" i="15" s="1"/>
  <c r="G544" i="15" s="1"/>
  <c r="G545" i="15" s="1"/>
  <c r="J699" i="15"/>
  <c r="G712" i="15" s="1"/>
  <c r="J931" i="15"/>
  <c r="G944" i="15" s="1"/>
  <c r="J989" i="15"/>
  <c r="G1002" i="15" s="1"/>
  <c r="J910" i="15"/>
  <c r="G943" i="15" s="1"/>
  <c r="G947" i="15" s="1"/>
  <c r="G948" i="15" s="1"/>
  <c r="J852" i="15"/>
  <c r="G885" i="15" s="1"/>
  <c r="G889" i="15" s="1"/>
  <c r="G890" i="15" s="1"/>
  <c r="J815" i="15"/>
  <c r="G828" i="15" s="1"/>
  <c r="J736" i="15"/>
  <c r="G769" i="15" s="1"/>
  <c r="G773" i="15" s="1"/>
  <c r="G774" i="15" s="1"/>
  <c r="J680" i="15"/>
  <c r="G711" i="15" s="1"/>
  <c r="G715" i="15" s="1"/>
  <c r="G716" i="15" s="1"/>
  <c r="J622" i="15"/>
  <c r="G655" i="15" s="1"/>
  <c r="G659" i="15" s="1"/>
  <c r="G660" i="15" s="1"/>
  <c r="J565" i="15"/>
  <c r="G597" i="15" s="1"/>
  <c r="G601" i="15" s="1"/>
  <c r="G602" i="15" s="1"/>
  <c r="J585" i="15"/>
  <c r="G598" i="15" s="1"/>
  <c r="G546" i="15"/>
  <c r="H101" i="1" s="1"/>
  <c r="J474" i="15"/>
  <c r="G487" i="15" s="1"/>
  <c r="J456" i="15"/>
  <c r="G486" i="15" s="1"/>
  <c r="G490" i="15" s="1"/>
  <c r="G491" i="15" s="1"/>
  <c r="J339" i="13"/>
  <c r="J338" i="13"/>
  <c r="J337" i="13"/>
  <c r="J336" i="13"/>
  <c r="J334" i="13"/>
  <c r="J333" i="13"/>
  <c r="J332" i="13"/>
  <c r="J331" i="13"/>
  <c r="J330" i="13"/>
  <c r="J329" i="13"/>
  <c r="J328" i="13"/>
  <c r="J327" i="13"/>
  <c r="J345" i="13"/>
  <c r="J344" i="13"/>
  <c r="J326" i="13"/>
  <c r="J343" i="13"/>
  <c r="J325" i="13"/>
  <c r="J342" i="13"/>
  <c r="J324" i="13"/>
  <c r="J323" i="13"/>
  <c r="J322" i="13"/>
  <c r="J298" i="13"/>
  <c r="J290" i="13"/>
  <c r="J289" i="13"/>
  <c r="J287" i="13"/>
  <c r="H171" i="13" s="1"/>
  <c r="J171" i="13" s="1"/>
  <c r="J233" i="13"/>
  <c r="J232" i="13"/>
  <c r="J231" i="13"/>
  <c r="J230" i="13"/>
  <c r="J229" i="13"/>
  <c r="J228" i="13"/>
  <c r="J225" i="13"/>
  <c r="J224" i="13"/>
  <c r="J222" i="13"/>
  <c r="J223" i="13"/>
  <c r="G775" i="15" l="1"/>
  <c r="H271" i="1" s="1"/>
  <c r="I271" i="1" s="1"/>
  <c r="G1065" i="15"/>
  <c r="H287" i="1" s="1"/>
  <c r="G833" i="15"/>
  <c r="H272" i="1" s="1"/>
  <c r="I272" i="1" s="1"/>
  <c r="G1007" i="15"/>
  <c r="H286" i="1" s="1"/>
  <c r="G949" i="15"/>
  <c r="H275" i="1" s="1"/>
  <c r="G891" i="15"/>
  <c r="H273" i="1" s="1"/>
  <c r="I273" i="1" s="1"/>
  <c r="G717" i="15"/>
  <c r="H252" i="1" s="1"/>
  <c r="G661" i="15"/>
  <c r="H251" i="1" s="1"/>
  <c r="G776" i="15"/>
  <c r="G777" i="15" s="1"/>
  <c r="G603" i="15"/>
  <c r="J227" i="13"/>
  <c r="J321" i="13"/>
  <c r="G492" i="15"/>
  <c r="J341" i="13"/>
  <c r="G95" i="1" s="1"/>
  <c r="J218" i="13"/>
  <c r="G77" i="1" s="1"/>
  <c r="J216" i="13"/>
  <c r="G215" i="13"/>
  <c r="J215" i="13" s="1"/>
  <c r="G214" i="13"/>
  <c r="J214" i="13" s="1"/>
  <c r="G213" i="13"/>
  <c r="J213" i="13" s="1"/>
  <c r="J211" i="13"/>
  <c r="J210" i="13"/>
  <c r="J209" i="13"/>
  <c r="J200" i="13"/>
  <c r="J201" i="13"/>
  <c r="J202" i="13"/>
  <c r="J199" i="13"/>
  <c r="J174" i="13"/>
  <c r="J177" i="13"/>
  <c r="J176" i="13"/>
  <c r="J175" i="13"/>
  <c r="J173" i="13"/>
  <c r="G834" i="15" l="1"/>
  <c r="G835" i="15" s="1"/>
  <c r="G892" i="15"/>
  <c r="G893" i="15" s="1"/>
  <c r="H250" i="1"/>
  <c r="H97" i="1"/>
  <c r="J212" i="13"/>
  <c r="J198" i="13"/>
  <c r="J205" i="13"/>
  <c r="J204" i="13" s="1"/>
  <c r="G76" i="1" s="1"/>
  <c r="J172" i="13"/>
  <c r="I144" i="15" l="1"/>
  <c r="J144" i="15" s="1"/>
  <c r="I397" i="15" l="1"/>
  <c r="J397" i="15" s="1"/>
  <c r="I410" i="15"/>
  <c r="J410" i="15" s="1"/>
  <c r="F431" i="15"/>
  <c r="J427" i="15"/>
  <c r="G433" i="15" s="1"/>
  <c r="I409" i="15"/>
  <c r="I408" i="15"/>
  <c r="J408" i="15" s="1"/>
  <c r="I407" i="15"/>
  <c r="J407" i="15" s="1"/>
  <c r="I406" i="15"/>
  <c r="J406" i="15" s="1"/>
  <c r="I399" i="15"/>
  <c r="J399" i="15" s="1"/>
  <c r="I398" i="15"/>
  <c r="J398" i="15" s="1"/>
  <c r="F108" i="13"/>
  <c r="J108" i="13" s="1"/>
  <c r="G107" i="13"/>
  <c r="F107" i="13"/>
  <c r="G106" i="13"/>
  <c r="F106" i="13"/>
  <c r="G105" i="13"/>
  <c r="F105" i="13"/>
  <c r="G103" i="13"/>
  <c r="F103" i="13"/>
  <c r="G102" i="13"/>
  <c r="F102" i="13"/>
  <c r="G101" i="13"/>
  <c r="F101" i="13"/>
  <c r="J100" i="13"/>
  <c r="J99" i="13"/>
  <c r="J98" i="13"/>
  <c r="J409" i="15" l="1"/>
  <c r="J419" i="15" s="1"/>
  <c r="G432" i="15" s="1"/>
  <c r="J403" i="15"/>
  <c r="G431" i="15" s="1"/>
  <c r="G435" i="15" s="1"/>
  <c r="G436" i="15" s="1"/>
  <c r="J101" i="13"/>
  <c r="J102" i="13"/>
  <c r="J103" i="13"/>
  <c r="J105" i="13"/>
  <c r="J106" i="13"/>
  <c r="J107" i="13"/>
  <c r="J29" i="13"/>
  <c r="J28" i="13"/>
  <c r="J94" i="13"/>
  <c r="J89" i="13"/>
  <c r="J88" i="13"/>
  <c r="J87" i="13"/>
  <c r="G93" i="13"/>
  <c r="J93" i="13" s="1"/>
  <c r="G92" i="13"/>
  <c r="J92" i="13" s="1"/>
  <c r="G91" i="13"/>
  <c r="J91" i="13" s="1"/>
  <c r="J97" i="13" l="1"/>
  <c r="J104" i="13"/>
  <c r="J83" i="13"/>
  <c r="J27" i="13"/>
  <c r="G437" i="15"/>
  <c r="J90" i="13"/>
  <c r="J72" i="13"/>
  <c r="J71" i="13"/>
  <c r="J70" i="13"/>
  <c r="J80" i="13"/>
  <c r="G79" i="13"/>
  <c r="G78" i="13"/>
  <c r="G77" i="13"/>
  <c r="G75" i="13"/>
  <c r="F75" i="13"/>
  <c r="G74" i="13"/>
  <c r="F74" i="13"/>
  <c r="G73" i="13"/>
  <c r="F73" i="13"/>
  <c r="J96" i="13" l="1"/>
  <c r="G41" i="1" s="1"/>
  <c r="J82" i="13"/>
  <c r="H48" i="1"/>
  <c r="I48" i="1" s="1"/>
  <c r="J73" i="13"/>
  <c r="J74" i="13"/>
  <c r="J75" i="13"/>
  <c r="J77" i="13"/>
  <c r="J78" i="13"/>
  <c r="J79" i="13"/>
  <c r="J69" i="13" l="1"/>
  <c r="J76" i="13"/>
  <c r="J68" i="13" l="1"/>
  <c r="F378" i="15"/>
  <c r="J374" i="15"/>
  <c r="G380" i="15" s="1"/>
  <c r="I349" i="15"/>
  <c r="J349" i="15" s="1"/>
  <c r="I348" i="15"/>
  <c r="J348" i="15" s="1"/>
  <c r="I341" i="15"/>
  <c r="J341" i="15" s="1"/>
  <c r="I340" i="15"/>
  <c r="J340" i="15" s="1"/>
  <c r="I339" i="15"/>
  <c r="J339" i="15" s="1"/>
  <c r="F320" i="15"/>
  <c r="J316" i="15"/>
  <c r="G322" i="15" s="1"/>
  <c r="I302" i="15"/>
  <c r="J302" i="15" s="1"/>
  <c r="I301" i="15"/>
  <c r="J301" i="15" s="1"/>
  <c r="I294" i="15"/>
  <c r="J294" i="15" s="1"/>
  <c r="I293" i="15"/>
  <c r="J293" i="15" s="1"/>
  <c r="I292" i="15"/>
  <c r="J292" i="15" s="1"/>
  <c r="F273" i="15"/>
  <c r="J269" i="15"/>
  <c r="G275" i="15" s="1"/>
  <c r="I249" i="15"/>
  <c r="J249" i="15" s="1"/>
  <c r="J261" i="15" s="1"/>
  <c r="G274" i="15" s="1"/>
  <c r="I241" i="15"/>
  <c r="J241" i="15" s="1"/>
  <c r="J240" i="15"/>
  <c r="J239" i="15"/>
  <c r="F220" i="15"/>
  <c r="J216" i="15"/>
  <c r="G222" i="15" s="1"/>
  <c r="I196" i="15"/>
  <c r="J196" i="15" s="1"/>
  <c r="J208" i="15" s="1"/>
  <c r="G221" i="15" s="1"/>
  <c r="I188" i="15"/>
  <c r="J188" i="15" s="1"/>
  <c r="J187" i="15"/>
  <c r="J186" i="15"/>
  <c r="F167" i="15"/>
  <c r="J163" i="15"/>
  <c r="G169" i="15" s="1"/>
  <c r="I143" i="15"/>
  <c r="J143" i="15" s="1"/>
  <c r="J155" i="15" s="1"/>
  <c r="G168" i="15" s="1"/>
  <c r="I135" i="15"/>
  <c r="J135" i="15" s="1"/>
  <c r="J134" i="15"/>
  <c r="J133" i="15"/>
  <c r="F114" i="15"/>
  <c r="J110" i="15"/>
  <c r="G116" i="15" s="1"/>
  <c r="I100" i="15"/>
  <c r="J100" i="15" s="1"/>
  <c r="I99" i="15"/>
  <c r="J99" i="15" s="1"/>
  <c r="I98" i="15"/>
  <c r="J98" i="15" s="1"/>
  <c r="I97" i="15"/>
  <c r="J97" i="15" s="1"/>
  <c r="I96" i="15"/>
  <c r="J96" i="15" s="1"/>
  <c r="I95" i="15"/>
  <c r="J95" i="15" s="1"/>
  <c r="I94" i="15"/>
  <c r="J94" i="15" s="1"/>
  <c r="I93" i="15"/>
  <c r="J93" i="15" s="1"/>
  <c r="I92" i="15"/>
  <c r="J92" i="15" s="1"/>
  <c r="I91" i="15"/>
  <c r="J91" i="15" s="1"/>
  <c r="I90" i="15"/>
  <c r="J90" i="15" s="1"/>
  <c r="I89" i="15"/>
  <c r="J89" i="15" s="1"/>
  <c r="I88" i="15"/>
  <c r="J88" i="15" s="1"/>
  <c r="I87" i="15"/>
  <c r="J87" i="15" s="1"/>
  <c r="I86" i="15"/>
  <c r="J86" i="15" s="1"/>
  <c r="I85" i="15"/>
  <c r="J85" i="15" s="1"/>
  <c r="J80" i="15"/>
  <c r="I79" i="15"/>
  <c r="J79" i="15" s="1"/>
  <c r="J78" i="15"/>
  <c r="F59" i="15"/>
  <c r="J55" i="15"/>
  <c r="G61" i="15" s="1"/>
  <c r="J47" i="15"/>
  <c r="G60" i="15" s="1"/>
  <c r="J245" i="15" l="1"/>
  <c r="G273" i="15" s="1"/>
  <c r="G277" i="15" s="1"/>
  <c r="G278" i="15" s="1"/>
  <c r="G279" i="15" s="1"/>
  <c r="H61" i="1" s="1"/>
  <c r="I61" i="1" s="1"/>
  <c r="J298" i="15"/>
  <c r="G320" i="15" s="1"/>
  <c r="G324" i="15" s="1"/>
  <c r="G325" i="15" s="1"/>
  <c r="J345" i="15"/>
  <c r="G378" i="15" s="1"/>
  <c r="G382" i="15" s="1"/>
  <c r="G383" i="15" s="1"/>
  <c r="I24" i="15"/>
  <c r="J24" i="15" s="1"/>
  <c r="I23" i="15"/>
  <c r="J23" i="15" s="1"/>
  <c r="I25" i="15"/>
  <c r="J25" i="15" s="1"/>
  <c r="J82" i="15"/>
  <c r="G114" i="15" s="1"/>
  <c r="G118" i="15" s="1"/>
  <c r="G119" i="15" s="1"/>
  <c r="J139" i="15"/>
  <c r="G167" i="15" s="1"/>
  <c r="G171" i="15" s="1"/>
  <c r="G172" i="15" s="1"/>
  <c r="G173" i="15" s="1"/>
  <c r="H54" i="1" s="1"/>
  <c r="I54" i="1" s="1"/>
  <c r="J309" i="15"/>
  <c r="G321" i="15" s="1"/>
  <c r="J192" i="15"/>
  <c r="G220" i="15" s="1"/>
  <c r="G224" i="15" s="1"/>
  <c r="G225" i="15" s="1"/>
  <c r="G226" i="15" s="1"/>
  <c r="J103" i="15"/>
  <c r="G115" i="15" s="1"/>
  <c r="J366" i="15"/>
  <c r="G379" i="15" s="1"/>
  <c r="G384" i="15" l="1"/>
  <c r="H88" i="1" s="1"/>
  <c r="I88" i="1" s="1"/>
  <c r="G326" i="15"/>
  <c r="G120" i="15"/>
  <c r="J29" i="15"/>
  <c r="G59" i="15" s="1"/>
  <c r="G63" i="15" s="1"/>
  <c r="H60" i="1"/>
  <c r="I60" i="1" s="1"/>
  <c r="G64" i="15" l="1"/>
  <c r="G65" i="15" s="1"/>
  <c r="G385" i="15"/>
  <c r="G386" i="15" s="1"/>
  <c r="H27" i="1"/>
  <c r="G327" i="15"/>
  <c r="G328" i="15" s="1"/>
  <c r="H80" i="1"/>
  <c r="I80" i="1" s="1"/>
  <c r="J381" i="13"/>
  <c r="J382" i="13"/>
  <c r="J383" i="13"/>
  <c r="J384" i="13"/>
  <c r="J385" i="13"/>
  <c r="J386" i="13"/>
  <c r="J387" i="13"/>
  <c r="G100" i="1"/>
  <c r="G99" i="1"/>
  <c r="G371" i="13"/>
  <c r="J371" i="13" s="1"/>
  <c r="G370" i="13"/>
  <c r="J370" i="13" s="1"/>
  <c r="J355" i="13"/>
  <c r="J354" i="13"/>
  <c r="J430" i="13"/>
  <c r="G271" i="1" s="1"/>
  <c r="J351" i="13"/>
  <c r="J350" i="13"/>
  <c r="J349" i="13"/>
  <c r="J348" i="13"/>
  <c r="J319" i="13"/>
  <c r="J318" i="13"/>
  <c r="J317" i="13"/>
  <c r="J316" i="13"/>
  <c r="J314" i="13"/>
  <c r="J313" i="13"/>
  <c r="J312" i="13"/>
  <c r="J311" i="13"/>
  <c r="J310" i="13"/>
  <c r="J309" i="13"/>
  <c r="J308" i="13"/>
  <c r="J307" i="13"/>
  <c r="J306" i="13"/>
  <c r="J305" i="13"/>
  <c r="J304" i="13"/>
  <c r="J303" i="13"/>
  <c r="J300" i="13"/>
  <c r="J299" i="13"/>
  <c r="J297" i="13"/>
  <c r="G80" i="1"/>
  <c r="J291" i="13"/>
  <c r="G88" i="1" s="1"/>
  <c r="G87" i="1"/>
  <c r="G86" i="1"/>
  <c r="G85" i="1"/>
  <c r="J256" i="13"/>
  <c r="J255" i="13"/>
  <c r="J254" i="13"/>
  <c r="J253" i="13"/>
  <c r="J252" i="13"/>
  <c r="J251" i="13"/>
  <c r="J250" i="13"/>
  <c r="J249" i="13"/>
  <c r="J248" i="13"/>
  <c r="J247" i="13"/>
  <c r="J246" i="13"/>
  <c r="J245" i="13"/>
  <c r="J244" i="13"/>
  <c r="J243" i="13"/>
  <c r="J242" i="13"/>
  <c r="J241" i="13"/>
  <c r="J240" i="13"/>
  <c r="J239" i="13"/>
  <c r="J238" i="13"/>
  <c r="J237" i="13"/>
  <c r="J236" i="13"/>
  <c r="J221" i="13"/>
  <c r="J194" i="13"/>
  <c r="G70" i="1" s="1"/>
  <c r="G303" i="1"/>
  <c r="G74" i="1"/>
  <c r="G55" i="1"/>
  <c r="G40" i="1"/>
  <c r="G39" i="1"/>
  <c r="J180" i="13"/>
  <c r="G58" i="1" s="1"/>
  <c r="J184" i="13"/>
  <c r="G61" i="1" s="1"/>
  <c r="J183" i="13"/>
  <c r="G60" i="1" s="1"/>
  <c r="J186" i="13"/>
  <c r="G63" i="1" s="1"/>
  <c r="J191" i="13"/>
  <c r="G68" i="1" s="1"/>
  <c r="J190" i="13"/>
  <c r="G67" i="1" s="1"/>
  <c r="J189" i="13"/>
  <c r="G66" i="1" s="1"/>
  <c r="J196" i="13"/>
  <c r="G72" i="1" s="1"/>
  <c r="J197" i="13"/>
  <c r="G73" i="1" s="1"/>
  <c r="J195" i="13"/>
  <c r="G71" i="1" s="1"/>
  <c r="J164" i="13"/>
  <c r="J166" i="13"/>
  <c r="J167" i="13"/>
  <c r="J165" i="13"/>
  <c r="F156" i="13"/>
  <c r="J156" i="13" s="1"/>
  <c r="J157" i="13"/>
  <c r="J155" i="13"/>
  <c r="F120" i="13"/>
  <c r="F121" i="13"/>
  <c r="F122" i="13"/>
  <c r="F119" i="13"/>
  <c r="G117" i="13"/>
  <c r="G116" i="13"/>
  <c r="G115" i="13"/>
  <c r="F117" i="13"/>
  <c r="F116" i="13"/>
  <c r="F115" i="13"/>
  <c r="J122" i="13"/>
  <c r="G121" i="13"/>
  <c r="G120" i="13"/>
  <c r="G119" i="13"/>
  <c r="J114" i="13"/>
  <c r="J113" i="13"/>
  <c r="J112" i="13"/>
  <c r="J119" i="13"/>
  <c r="G53" i="13"/>
  <c r="J47" i="13"/>
  <c r="J48" i="13"/>
  <c r="J46" i="13"/>
  <c r="G51" i="13"/>
  <c r="G50" i="13"/>
  <c r="G49" i="13"/>
  <c r="F51" i="13"/>
  <c r="F50" i="13"/>
  <c r="F49" i="13"/>
  <c r="J56" i="13"/>
  <c r="G55" i="13"/>
  <c r="G54" i="13"/>
  <c r="J397" i="13"/>
  <c r="J453" i="13"/>
  <c r="G301" i="1" s="1"/>
  <c r="J447" i="13"/>
  <c r="J441" i="13"/>
  <c r="G273" i="1" s="1"/>
  <c r="G272" i="1"/>
  <c r="J415" i="13"/>
  <c r="G204" i="1" s="1"/>
  <c r="J414" i="13"/>
  <c r="G203" i="1" s="1"/>
  <c r="J413" i="13"/>
  <c r="G202" i="1" s="1"/>
  <c r="J407" i="13"/>
  <c r="G196" i="1" s="1"/>
  <c r="J408" i="13"/>
  <c r="G197" i="1" s="1"/>
  <c r="J410" i="13"/>
  <c r="G199" i="1" s="1"/>
  <c r="J411" i="13"/>
  <c r="G200" i="1" s="1"/>
  <c r="J406" i="13"/>
  <c r="G195" i="1" s="1"/>
  <c r="J400" i="13"/>
  <c r="G189" i="1" s="1"/>
  <c r="J401" i="13"/>
  <c r="G190" i="1" s="1"/>
  <c r="J402" i="13"/>
  <c r="G191" i="1" s="1"/>
  <c r="J403" i="13"/>
  <c r="G192" i="1" s="1"/>
  <c r="J404" i="13"/>
  <c r="G193" i="1" s="1"/>
  <c r="J399" i="13"/>
  <c r="G188" i="1" s="1"/>
  <c r="J35" i="13"/>
  <c r="G29" i="1" s="1"/>
  <c r="J33" i="13"/>
  <c r="J31" i="13"/>
  <c r="G26" i="1"/>
  <c r="J25" i="13"/>
  <c r="G25" i="1" s="1"/>
  <c r="J188" i="13"/>
  <c r="G65" i="1" s="1"/>
  <c r="J20" i="13"/>
  <c r="E51" i="12"/>
  <c r="D47" i="12"/>
  <c r="E47" i="12"/>
  <c r="E40" i="12"/>
  <c r="D40" i="12"/>
  <c r="E28" i="12"/>
  <c r="D28" i="12"/>
  <c r="B39" i="11"/>
  <c r="B38" i="11"/>
  <c r="B37" i="11"/>
  <c r="B36" i="11"/>
  <c r="B35" i="11"/>
  <c r="E24" i="11"/>
  <c r="B40" i="11" s="1"/>
  <c r="K63" i="9"/>
  <c r="K61" i="9"/>
  <c r="K59" i="9"/>
  <c r="K57" i="9"/>
  <c r="K55" i="9"/>
  <c r="K53" i="9"/>
  <c r="K51" i="9"/>
  <c r="K49" i="9"/>
  <c r="K47" i="9"/>
  <c r="K45" i="9"/>
  <c r="K43" i="9"/>
  <c r="K41" i="9"/>
  <c r="K39" i="9"/>
  <c r="K37" i="9"/>
  <c r="K35" i="9"/>
  <c r="K33" i="9"/>
  <c r="K31" i="9"/>
  <c r="K29" i="9"/>
  <c r="K27" i="9"/>
  <c r="K25" i="9"/>
  <c r="K23" i="9"/>
  <c r="K21" i="9"/>
  <c r="K19" i="9"/>
  <c r="D49" i="12"/>
  <c r="D51" i="12" s="1"/>
  <c r="J353" i="13" l="1"/>
  <c r="G97" i="1" s="1"/>
  <c r="E53" i="12"/>
  <c r="H23" i="1"/>
  <c r="J163" i="13"/>
  <c r="D53" i="12"/>
  <c r="J120" i="13"/>
  <c r="J235" i="13"/>
  <c r="J285" i="13" s="1"/>
  <c r="J284" i="13" s="1"/>
  <c r="G84" i="1" s="1"/>
  <c r="E42" i="11"/>
  <c r="J296" i="13"/>
  <c r="J115" i="13"/>
  <c r="J54" i="13"/>
  <c r="J55" i="13"/>
  <c r="J49" i="13"/>
  <c r="J51" i="13"/>
  <c r="J117" i="13"/>
  <c r="J154" i="13"/>
  <c r="J159" i="13" s="1"/>
  <c r="G51" i="1" s="1"/>
  <c r="J116" i="13"/>
  <c r="J302" i="13"/>
  <c r="G93" i="1" s="1"/>
  <c r="G79" i="1"/>
  <c r="J347" i="13"/>
  <c r="J369" i="13"/>
  <c r="G101" i="1" s="1"/>
  <c r="J121" i="13"/>
  <c r="J118" i="13" s="1"/>
  <c r="J380" i="13"/>
  <c r="G103" i="1" s="1"/>
  <c r="J50" i="13"/>
  <c r="J53" i="13"/>
  <c r="G54" i="1"/>
  <c r="G92" i="1" l="1"/>
  <c r="J295" i="13"/>
  <c r="G81" i="1"/>
  <c r="J282" i="13"/>
  <c r="J281" i="13" s="1"/>
  <c r="G83" i="1" s="1"/>
  <c r="G14" i="1"/>
  <c r="I11" i="15"/>
  <c r="F1226" i="15" s="1"/>
  <c r="G1226" i="15" s="1"/>
  <c r="G1227" i="15" s="1"/>
  <c r="J301" i="1"/>
  <c r="J300" i="1" s="1"/>
  <c r="J299" i="1" s="1"/>
  <c r="D61" i="9" s="1"/>
  <c r="J62" i="9" s="1"/>
  <c r="K62" i="9" s="1"/>
  <c r="J61" i="1"/>
  <c r="J111" i="13"/>
  <c r="J110" i="13" s="1"/>
  <c r="G42" i="1" s="1"/>
  <c r="J45" i="13"/>
  <c r="G96" i="1"/>
  <c r="G50" i="1"/>
  <c r="G91" i="1"/>
  <c r="G94" i="1"/>
  <c r="J52" i="13"/>
  <c r="I310" i="1" l="1"/>
  <c r="J310" i="1" s="1"/>
  <c r="I481" i="1"/>
  <c r="J481" i="1" s="1"/>
  <c r="J480" i="1" s="1"/>
  <c r="I475" i="1"/>
  <c r="J475" i="1" s="1"/>
  <c r="I470" i="1"/>
  <c r="J470" i="1" s="1"/>
  <c r="I466" i="1"/>
  <c r="I461" i="1"/>
  <c r="J461" i="1" s="1"/>
  <c r="I456" i="1"/>
  <c r="J456" i="1" s="1"/>
  <c r="I452" i="1"/>
  <c r="J452" i="1" s="1"/>
  <c r="I448" i="1"/>
  <c r="J448" i="1" s="1"/>
  <c r="I442" i="1"/>
  <c r="J442" i="1" s="1"/>
  <c r="J441" i="1" s="1"/>
  <c r="I435" i="1"/>
  <c r="J435" i="1" s="1"/>
  <c r="I431" i="1"/>
  <c r="J431" i="1" s="1"/>
  <c r="I426" i="1"/>
  <c r="J426" i="1" s="1"/>
  <c r="I421" i="1"/>
  <c r="J421" i="1" s="1"/>
  <c r="J420" i="1" s="1"/>
  <c r="I415" i="1"/>
  <c r="J415" i="1" s="1"/>
  <c r="I410" i="1"/>
  <c r="J410" i="1" s="1"/>
  <c r="I405" i="1"/>
  <c r="J405" i="1" s="1"/>
  <c r="I401" i="1"/>
  <c r="J401" i="1" s="1"/>
  <c r="I397" i="1"/>
  <c r="J397" i="1" s="1"/>
  <c r="I393" i="1"/>
  <c r="J393" i="1" s="1"/>
  <c r="I389" i="1"/>
  <c r="J389" i="1" s="1"/>
  <c r="I385" i="1"/>
  <c r="J385" i="1" s="1"/>
  <c r="I381" i="1"/>
  <c r="J381" i="1" s="1"/>
  <c r="I375" i="1"/>
  <c r="J375" i="1" s="1"/>
  <c r="I371" i="1"/>
  <c r="J371" i="1" s="1"/>
  <c r="I366" i="1"/>
  <c r="J366" i="1" s="1"/>
  <c r="I362" i="1"/>
  <c r="J362" i="1" s="1"/>
  <c r="I356" i="1"/>
  <c r="J356" i="1" s="1"/>
  <c r="I350" i="1"/>
  <c r="J350" i="1" s="1"/>
  <c r="I346" i="1"/>
  <c r="J346" i="1" s="1"/>
  <c r="I340" i="1"/>
  <c r="J340" i="1" s="1"/>
  <c r="I333" i="1"/>
  <c r="J333" i="1" s="1"/>
  <c r="I329" i="1"/>
  <c r="J329" i="1" s="1"/>
  <c r="I474" i="1"/>
  <c r="J474" i="1" s="1"/>
  <c r="I469" i="1"/>
  <c r="J469" i="1" s="1"/>
  <c r="I460" i="1"/>
  <c r="J460" i="1" s="1"/>
  <c r="I455" i="1"/>
  <c r="J455" i="1" s="1"/>
  <c r="I451" i="1"/>
  <c r="J451" i="1" s="1"/>
  <c r="I446" i="1"/>
  <c r="J446" i="1" s="1"/>
  <c r="I439" i="1"/>
  <c r="J439" i="1" s="1"/>
  <c r="I434" i="1"/>
  <c r="J434" i="1" s="1"/>
  <c r="I429" i="1"/>
  <c r="J429" i="1" s="1"/>
  <c r="I425" i="1"/>
  <c r="J425" i="1" s="1"/>
  <c r="I418" i="1"/>
  <c r="J418" i="1" s="1"/>
  <c r="I414" i="1"/>
  <c r="J414" i="1" s="1"/>
  <c r="I409" i="1"/>
  <c r="J409" i="1" s="1"/>
  <c r="I404" i="1"/>
  <c r="J404" i="1" s="1"/>
  <c r="I400" i="1"/>
  <c r="J400" i="1" s="1"/>
  <c r="I396" i="1"/>
  <c r="J396" i="1" s="1"/>
  <c r="I392" i="1"/>
  <c r="J392" i="1" s="1"/>
  <c r="I388" i="1"/>
  <c r="J388" i="1" s="1"/>
  <c r="I384" i="1"/>
  <c r="J384" i="1" s="1"/>
  <c r="I380" i="1"/>
  <c r="J380" i="1" s="1"/>
  <c r="I374" i="1"/>
  <c r="J374" i="1" s="1"/>
  <c r="I370" i="1"/>
  <c r="J370" i="1" s="1"/>
  <c r="I365" i="1"/>
  <c r="J365" i="1" s="1"/>
  <c r="I361" i="1"/>
  <c r="J361" i="1" s="1"/>
  <c r="I355" i="1"/>
  <c r="J355" i="1" s="1"/>
  <c r="J354" i="1" s="1"/>
  <c r="I349" i="1"/>
  <c r="J349" i="1" s="1"/>
  <c r="I345" i="1"/>
  <c r="J345" i="1" s="1"/>
  <c r="I336" i="1"/>
  <c r="J336" i="1" s="1"/>
  <c r="I332" i="1"/>
  <c r="J332" i="1" s="1"/>
  <c r="I328" i="1"/>
  <c r="J328" i="1" s="1"/>
  <c r="I471" i="1"/>
  <c r="J471" i="1" s="1"/>
  <c r="I467" i="1"/>
  <c r="J467" i="1" s="1"/>
  <c r="I457" i="1"/>
  <c r="J457" i="1" s="1"/>
  <c r="I449" i="1"/>
  <c r="J449" i="1" s="1"/>
  <c r="I437" i="1"/>
  <c r="J437" i="1" s="1"/>
  <c r="I427" i="1"/>
  <c r="J427" i="1" s="1"/>
  <c r="I423" i="1"/>
  <c r="J423" i="1" s="1"/>
  <c r="I411" i="1"/>
  <c r="J411" i="1" s="1"/>
  <c r="I402" i="1"/>
  <c r="J402" i="1" s="1"/>
  <c r="I394" i="1"/>
  <c r="J394" i="1" s="1"/>
  <c r="I386" i="1"/>
  <c r="J386" i="1" s="1"/>
  <c r="I372" i="1"/>
  <c r="J372" i="1" s="1"/>
  <c r="I363" i="1"/>
  <c r="J363" i="1" s="1"/>
  <c r="I357" i="1"/>
  <c r="J357" i="1" s="1"/>
  <c r="I347" i="1"/>
  <c r="J347" i="1" s="1"/>
  <c r="I334" i="1"/>
  <c r="J334" i="1" s="1"/>
  <c r="I325" i="1"/>
  <c r="J325" i="1" s="1"/>
  <c r="J324" i="1" s="1"/>
  <c r="I477" i="1"/>
  <c r="J477" i="1" s="1"/>
  <c r="I472" i="1"/>
  <c r="J472" i="1" s="1"/>
  <c r="I468" i="1"/>
  <c r="J468" i="1" s="1"/>
  <c r="I459" i="1"/>
  <c r="J459" i="1" s="1"/>
  <c r="J458" i="1" s="1"/>
  <c r="I454" i="1"/>
  <c r="J454" i="1" s="1"/>
  <c r="I450" i="1"/>
  <c r="J450" i="1" s="1"/>
  <c r="I445" i="1"/>
  <c r="J445" i="1" s="1"/>
  <c r="I438" i="1"/>
  <c r="J438" i="1" s="1"/>
  <c r="I433" i="1"/>
  <c r="J433" i="1" s="1"/>
  <c r="I428" i="1"/>
  <c r="J428" i="1" s="1"/>
  <c r="I424" i="1"/>
  <c r="J424" i="1" s="1"/>
  <c r="I417" i="1"/>
  <c r="J417" i="1" s="1"/>
  <c r="I412" i="1"/>
  <c r="J412" i="1" s="1"/>
  <c r="I408" i="1"/>
  <c r="J408" i="1" s="1"/>
  <c r="I403" i="1"/>
  <c r="J403" i="1" s="1"/>
  <c r="I399" i="1"/>
  <c r="J399" i="1" s="1"/>
  <c r="I395" i="1"/>
  <c r="J395" i="1" s="1"/>
  <c r="I391" i="1"/>
  <c r="J391" i="1" s="1"/>
  <c r="I387" i="1"/>
  <c r="J387" i="1" s="1"/>
  <c r="I383" i="1"/>
  <c r="J383" i="1" s="1"/>
  <c r="I379" i="1"/>
  <c r="J379" i="1" s="1"/>
  <c r="I373" i="1"/>
  <c r="J373" i="1" s="1"/>
  <c r="I369" i="1"/>
  <c r="J369" i="1" s="1"/>
  <c r="J368" i="1" s="1"/>
  <c r="I364" i="1"/>
  <c r="J364" i="1" s="1"/>
  <c r="I360" i="1"/>
  <c r="J360" i="1" s="1"/>
  <c r="I353" i="1"/>
  <c r="J353" i="1" s="1"/>
  <c r="J352" i="1" s="1"/>
  <c r="I348" i="1"/>
  <c r="J348" i="1" s="1"/>
  <c r="I344" i="1"/>
  <c r="J344" i="1" s="1"/>
  <c r="I335" i="1"/>
  <c r="J335" i="1" s="1"/>
  <c r="I331" i="1"/>
  <c r="J331" i="1" s="1"/>
  <c r="I327" i="1"/>
  <c r="J327" i="1" s="1"/>
  <c r="J326" i="1" s="1"/>
  <c r="I476" i="1"/>
  <c r="J476" i="1" s="1"/>
  <c r="I453" i="1"/>
  <c r="J453" i="1" s="1"/>
  <c r="I444" i="1"/>
  <c r="J444" i="1" s="1"/>
  <c r="I432" i="1"/>
  <c r="J432" i="1" s="1"/>
  <c r="I416" i="1"/>
  <c r="J416" i="1" s="1"/>
  <c r="I407" i="1"/>
  <c r="J407" i="1" s="1"/>
  <c r="I398" i="1"/>
  <c r="J398" i="1" s="1"/>
  <c r="I390" i="1"/>
  <c r="J390" i="1" s="1"/>
  <c r="I382" i="1"/>
  <c r="J382" i="1" s="1"/>
  <c r="I378" i="1"/>
  <c r="J378" i="1" s="1"/>
  <c r="I367" i="1"/>
  <c r="J367" i="1" s="1"/>
  <c r="I351" i="1"/>
  <c r="J351" i="1" s="1"/>
  <c r="I341" i="1"/>
  <c r="J341" i="1" s="1"/>
  <c r="I330" i="1"/>
  <c r="J330" i="1" s="1"/>
  <c r="I479" i="1"/>
  <c r="J479" i="1" s="1"/>
  <c r="J478" i="1" s="1"/>
  <c r="I464" i="1"/>
  <c r="J464" i="1" s="1"/>
  <c r="I465" i="1"/>
  <c r="J465" i="1" s="1"/>
  <c r="I463" i="1"/>
  <c r="J463" i="1" s="1"/>
  <c r="I253" i="1"/>
  <c r="J253" i="1" s="1"/>
  <c r="I254" i="1"/>
  <c r="J254" i="1" s="1"/>
  <c r="I314" i="1"/>
  <c r="J314" i="1" s="1"/>
  <c r="I313" i="1"/>
  <c r="J313" i="1" s="1"/>
  <c r="I312" i="1"/>
  <c r="J312" i="1" s="1"/>
  <c r="I309" i="1"/>
  <c r="J309" i="1" s="1"/>
  <c r="I311" i="1"/>
  <c r="J311" i="1" s="1"/>
  <c r="I308" i="1"/>
  <c r="J308" i="1" s="1"/>
  <c r="I149" i="1"/>
  <c r="J149" i="1" s="1"/>
  <c r="I306" i="1"/>
  <c r="J306" i="1" s="1"/>
  <c r="I307" i="1"/>
  <c r="J307" i="1" s="1"/>
  <c r="I23" i="1"/>
  <c r="J23" i="1" s="1"/>
  <c r="J22" i="1" s="1"/>
  <c r="I238" i="1"/>
  <c r="J238" i="1" s="1"/>
  <c r="I239" i="1"/>
  <c r="J239" i="1" s="1"/>
  <c r="I280" i="1"/>
  <c r="J280" i="1" s="1"/>
  <c r="I277" i="1"/>
  <c r="J277" i="1" s="1"/>
  <c r="I269" i="1"/>
  <c r="J269" i="1" s="1"/>
  <c r="I298" i="1"/>
  <c r="J298" i="1" s="1"/>
  <c r="I84" i="1"/>
  <c r="J84" i="1" s="1"/>
  <c r="I35" i="1"/>
  <c r="I290" i="1"/>
  <c r="J290" i="1" s="1"/>
  <c r="I82" i="1"/>
  <c r="J82" i="1" s="1"/>
  <c r="I297" i="1"/>
  <c r="J297" i="1" s="1"/>
  <c r="I267" i="1"/>
  <c r="J267" i="1" s="1"/>
  <c r="I27" i="1"/>
  <c r="J27" i="1" s="1"/>
  <c r="I248" i="1"/>
  <c r="J248" i="1" s="1"/>
  <c r="I229" i="1"/>
  <c r="J229" i="1" s="1"/>
  <c r="D19" i="9"/>
  <c r="I289" i="1"/>
  <c r="J289" i="1" s="1"/>
  <c r="J288" i="1" s="1"/>
  <c r="G280" i="15"/>
  <c r="G281" i="15" s="1"/>
  <c r="G174" i="15"/>
  <c r="G175" i="15" s="1"/>
  <c r="F718" i="15"/>
  <c r="G718" i="15" s="1"/>
  <c r="G719" i="15" s="1"/>
  <c r="G227" i="15"/>
  <c r="G228" i="15" s="1"/>
  <c r="F1119" i="15"/>
  <c r="G1119" i="15" s="1"/>
  <c r="G1120" i="15" s="1"/>
  <c r="H262" i="1" s="1"/>
  <c r="I262" i="1" s="1"/>
  <c r="J262" i="1" s="1"/>
  <c r="F1171" i="15"/>
  <c r="G1171" i="15" s="1"/>
  <c r="G1172" i="15" s="1"/>
  <c r="H263" i="1" s="1"/>
  <c r="I263" i="1" s="1"/>
  <c r="J263" i="1" s="1"/>
  <c r="I87" i="1"/>
  <c r="J87" i="1" s="1"/>
  <c r="I251" i="1"/>
  <c r="J251" i="1" s="1"/>
  <c r="I244" i="1"/>
  <c r="J244" i="1" s="1"/>
  <c r="I30" i="1"/>
  <c r="J30" i="1" s="1"/>
  <c r="J44" i="13"/>
  <c r="I232" i="1"/>
  <c r="J232" i="1" s="1"/>
  <c r="I283" i="1"/>
  <c r="J283" i="1" s="1"/>
  <c r="I294" i="1"/>
  <c r="J294" i="1" s="1"/>
  <c r="J273" i="1"/>
  <c r="I198" i="1"/>
  <c r="J198" i="1" s="1"/>
  <c r="I83" i="1"/>
  <c r="J83" i="1" s="1"/>
  <c r="I41" i="1"/>
  <c r="J41" i="1" s="1"/>
  <c r="I28" i="1"/>
  <c r="J28" i="1" s="1"/>
  <c r="I295" i="1"/>
  <c r="J295" i="1" s="1"/>
  <c r="I284" i="1"/>
  <c r="J284" i="1" s="1"/>
  <c r="I279" i="1"/>
  <c r="J279" i="1" s="1"/>
  <c r="I95" i="1"/>
  <c r="J95" i="1" s="1"/>
  <c r="I36" i="1"/>
  <c r="I286" i="1"/>
  <c r="J286" i="1" s="1"/>
  <c r="J272" i="1"/>
  <c r="I259" i="1"/>
  <c r="J259" i="1" s="1"/>
  <c r="I249" i="1"/>
  <c r="J249" i="1" s="1"/>
  <c r="I282" i="1"/>
  <c r="J282" i="1" s="1"/>
  <c r="I257" i="1"/>
  <c r="J257" i="1" s="1"/>
  <c r="I242" i="1"/>
  <c r="J242" i="1" s="1"/>
  <c r="I234" i="1"/>
  <c r="J234" i="1" s="1"/>
  <c r="I225" i="1"/>
  <c r="J225" i="1" s="1"/>
  <c r="I42" i="1"/>
  <c r="J42" i="1" s="1"/>
  <c r="I275" i="1"/>
  <c r="J275" i="1" s="1"/>
  <c r="I240" i="1"/>
  <c r="J240" i="1" s="1"/>
  <c r="I303" i="1"/>
  <c r="J303" i="1" s="1"/>
  <c r="J302" i="1" s="1"/>
  <c r="D63" i="9" s="1"/>
  <c r="J64" i="9" s="1"/>
  <c r="K64" i="9" s="1"/>
  <c r="I287" i="1"/>
  <c r="J287" i="1" s="1"/>
  <c r="I278" i="1"/>
  <c r="J278" i="1" s="1"/>
  <c r="I260" i="1"/>
  <c r="J260" i="1" s="1"/>
  <c r="I268" i="1"/>
  <c r="J268" i="1" s="1"/>
  <c r="I250" i="1"/>
  <c r="J250" i="1" s="1"/>
  <c r="I256" i="1"/>
  <c r="J256" i="1" s="1"/>
  <c r="F547" i="15"/>
  <c r="G547" i="15" s="1"/>
  <c r="G548" i="15" s="1"/>
  <c r="F1066" i="15"/>
  <c r="G1066" i="15" s="1"/>
  <c r="G1067" i="15" s="1"/>
  <c r="F1008" i="15"/>
  <c r="G1008" i="15" s="1"/>
  <c r="G1009" i="15" s="1"/>
  <c r="F950" i="15"/>
  <c r="G950" i="15" s="1"/>
  <c r="G951" i="15" s="1"/>
  <c r="F662" i="15"/>
  <c r="G662" i="15" s="1"/>
  <c r="G663" i="15" s="1"/>
  <c r="F604" i="15"/>
  <c r="G604" i="15" s="1"/>
  <c r="G605" i="15" s="1"/>
  <c r="F493" i="15"/>
  <c r="G493" i="15" s="1"/>
  <c r="G494" i="15" s="1"/>
  <c r="G438" i="15"/>
  <c r="G439" i="15" s="1"/>
  <c r="F121" i="15"/>
  <c r="G121" i="15" s="1"/>
  <c r="G122" i="15" s="1"/>
  <c r="F66" i="15"/>
  <c r="G66" i="15" s="1"/>
  <c r="G67" i="15" s="1"/>
  <c r="I208" i="1"/>
  <c r="J208" i="1" s="1"/>
  <c r="I293" i="1"/>
  <c r="J293" i="1" s="1"/>
  <c r="I245" i="1"/>
  <c r="J245" i="1" s="1"/>
  <c r="I227" i="1"/>
  <c r="J227" i="1" s="1"/>
  <c r="I292" i="1"/>
  <c r="J292" i="1" s="1"/>
  <c r="I281" i="1"/>
  <c r="J281" i="1" s="1"/>
  <c r="J271" i="1"/>
  <c r="I258" i="1"/>
  <c r="J258" i="1" s="1"/>
  <c r="I246" i="1"/>
  <c r="J246" i="1" s="1"/>
  <c r="I237" i="1"/>
  <c r="J237" i="1" s="1"/>
  <c r="I233" i="1"/>
  <c r="J233" i="1" s="1"/>
  <c r="I228" i="1"/>
  <c r="J228" i="1" s="1"/>
  <c r="I224" i="1"/>
  <c r="J224" i="1" s="1"/>
  <c r="I219" i="1"/>
  <c r="J219" i="1" s="1"/>
  <c r="I218" i="1"/>
  <c r="J218" i="1" s="1"/>
  <c r="I212" i="1"/>
  <c r="J212" i="1" s="1"/>
  <c r="I207" i="1"/>
  <c r="J207" i="1" s="1"/>
  <c r="I202" i="1"/>
  <c r="J202" i="1" s="1"/>
  <c r="I196" i="1"/>
  <c r="J196" i="1" s="1"/>
  <c r="I191" i="1"/>
  <c r="J191" i="1" s="1"/>
  <c r="I186" i="1"/>
  <c r="J186" i="1" s="1"/>
  <c r="J185" i="1" s="1"/>
  <c r="I180" i="1"/>
  <c r="J180" i="1" s="1"/>
  <c r="I176" i="1"/>
  <c r="J176" i="1" s="1"/>
  <c r="I172" i="1"/>
  <c r="J172" i="1" s="1"/>
  <c r="I168" i="1"/>
  <c r="J168" i="1" s="1"/>
  <c r="I164" i="1"/>
  <c r="J164" i="1" s="1"/>
  <c r="I160" i="1"/>
  <c r="J160" i="1" s="1"/>
  <c r="I155" i="1"/>
  <c r="J155" i="1" s="1"/>
  <c r="I151" i="1"/>
  <c r="J151" i="1" s="1"/>
  <c r="I145" i="1"/>
  <c r="J145" i="1" s="1"/>
  <c r="I141" i="1"/>
  <c r="J141" i="1" s="1"/>
  <c r="I135" i="1"/>
  <c r="J135" i="1" s="1"/>
  <c r="I130" i="1"/>
  <c r="J130" i="1" s="1"/>
  <c r="I126" i="1"/>
  <c r="J126" i="1" s="1"/>
  <c r="I122" i="1"/>
  <c r="J122" i="1" s="1"/>
  <c r="I118" i="1"/>
  <c r="J118" i="1" s="1"/>
  <c r="I114" i="1"/>
  <c r="J114" i="1" s="1"/>
  <c r="I110" i="1"/>
  <c r="J110" i="1" s="1"/>
  <c r="I106" i="1"/>
  <c r="J106" i="1" s="1"/>
  <c r="I99" i="1"/>
  <c r="J99" i="1" s="1"/>
  <c r="I93" i="1"/>
  <c r="J93" i="1" s="1"/>
  <c r="J88" i="1"/>
  <c r="I81" i="1"/>
  <c r="J81" i="1" s="1"/>
  <c r="I76" i="1"/>
  <c r="J76" i="1" s="1"/>
  <c r="I71" i="1"/>
  <c r="J71" i="1" s="1"/>
  <c r="I66" i="1"/>
  <c r="J66" i="1" s="1"/>
  <c r="I58" i="1"/>
  <c r="J58" i="1" s="1"/>
  <c r="J57" i="1" s="1"/>
  <c r="I50" i="1"/>
  <c r="J50" i="1" s="1"/>
  <c r="I29" i="1"/>
  <c r="J29" i="1" s="1"/>
  <c r="I215" i="1"/>
  <c r="J215" i="1" s="1"/>
  <c r="I211" i="1"/>
  <c r="J211" i="1" s="1"/>
  <c r="I206" i="1"/>
  <c r="J206" i="1" s="1"/>
  <c r="I200" i="1"/>
  <c r="J200" i="1" s="1"/>
  <c r="I195" i="1"/>
  <c r="J195" i="1" s="1"/>
  <c r="I190" i="1"/>
  <c r="J190" i="1" s="1"/>
  <c r="I183" i="1"/>
  <c r="J183" i="1" s="1"/>
  <c r="I179" i="1"/>
  <c r="J179" i="1" s="1"/>
  <c r="I175" i="1"/>
  <c r="J175" i="1" s="1"/>
  <c r="I171" i="1"/>
  <c r="J171" i="1" s="1"/>
  <c r="I167" i="1"/>
  <c r="J167" i="1" s="1"/>
  <c r="I163" i="1"/>
  <c r="J163" i="1" s="1"/>
  <c r="I159" i="1"/>
  <c r="J159" i="1" s="1"/>
  <c r="I153" i="1"/>
  <c r="J153" i="1" s="1"/>
  <c r="I147" i="1"/>
  <c r="J147" i="1" s="1"/>
  <c r="J146" i="1" s="1"/>
  <c r="I142" i="1"/>
  <c r="J142" i="1" s="1"/>
  <c r="I138" i="1"/>
  <c r="J138" i="1" s="1"/>
  <c r="I134" i="1"/>
  <c r="J134" i="1" s="1"/>
  <c r="I131" i="1"/>
  <c r="J131" i="1" s="1"/>
  <c r="I127" i="1"/>
  <c r="J127" i="1" s="1"/>
  <c r="I123" i="1"/>
  <c r="J123" i="1" s="1"/>
  <c r="I119" i="1"/>
  <c r="J119" i="1" s="1"/>
  <c r="I115" i="1"/>
  <c r="J115" i="1" s="1"/>
  <c r="I111" i="1"/>
  <c r="J111" i="1" s="1"/>
  <c r="I107" i="1"/>
  <c r="J107" i="1" s="1"/>
  <c r="I102" i="1"/>
  <c r="J102" i="1" s="1"/>
  <c r="I97" i="1"/>
  <c r="J97" i="1" s="1"/>
  <c r="I92" i="1"/>
  <c r="J92" i="1" s="1"/>
  <c r="J80" i="1"/>
  <c r="I74" i="1"/>
  <c r="J74" i="1" s="1"/>
  <c r="I70" i="1"/>
  <c r="J70" i="1" s="1"/>
  <c r="I65" i="1"/>
  <c r="J65" i="1" s="1"/>
  <c r="I55" i="1"/>
  <c r="J55" i="1" s="1"/>
  <c r="I261" i="1"/>
  <c r="J261" i="1" s="1"/>
  <c r="I236" i="1"/>
  <c r="J236" i="1" s="1"/>
  <c r="I296" i="1"/>
  <c r="J296" i="1" s="1"/>
  <c r="I285" i="1"/>
  <c r="J285" i="1" s="1"/>
  <c r="I276" i="1"/>
  <c r="J276" i="1" s="1"/>
  <c r="I266" i="1"/>
  <c r="J266" i="1" s="1"/>
  <c r="I252" i="1"/>
  <c r="J252" i="1" s="1"/>
  <c r="I241" i="1"/>
  <c r="J241" i="1" s="1"/>
  <c r="I235" i="1"/>
  <c r="J235" i="1" s="1"/>
  <c r="I230" i="1"/>
  <c r="J230" i="1" s="1"/>
  <c r="I226" i="1"/>
  <c r="J226" i="1" s="1"/>
  <c r="I222" i="1"/>
  <c r="J222" i="1" s="1"/>
  <c r="I223" i="1"/>
  <c r="J223" i="1" s="1"/>
  <c r="I214" i="1"/>
  <c r="J214" i="1" s="1"/>
  <c r="I210" i="1"/>
  <c r="J210" i="1" s="1"/>
  <c r="I204" i="1"/>
  <c r="J204" i="1" s="1"/>
  <c r="I199" i="1"/>
  <c r="J199" i="1" s="1"/>
  <c r="I193" i="1"/>
  <c r="J193" i="1" s="1"/>
  <c r="I189" i="1"/>
  <c r="J189" i="1" s="1"/>
  <c r="I182" i="1"/>
  <c r="J182" i="1" s="1"/>
  <c r="I178" i="1"/>
  <c r="J178" i="1" s="1"/>
  <c r="I174" i="1"/>
  <c r="J174" i="1" s="1"/>
  <c r="I170" i="1"/>
  <c r="J170" i="1" s="1"/>
  <c r="I166" i="1"/>
  <c r="J166" i="1" s="1"/>
  <c r="I162" i="1"/>
  <c r="J162" i="1" s="1"/>
  <c r="I157" i="1"/>
  <c r="J157" i="1" s="1"/>
  <c r="I154" i="1"/>
  <c r="J154" i="1" s="1"/>
  <c r="I150" i="1"/>
  <c r="J150" i="1" s="1"/>
  <c r="I143" i="1"/>
  <c r="J143" i="1" s="1"/>
  <c r="I139" i="1"/>
  <c r="J139" i="1" s="1"/>
  <c r="I133" i="1"/>
  <c r="J133" i="1" s="1"/>
  <c r="I128" i="1"/>
  <c r="J128" i="1" s="1"/>
  <c r="I124" i="1"/>
  <c r="J124" i="1" s="1"/>
  <c r="I120" i="1"/>
  <c r="J120" i="1" s="1"/>
  <c r="I116" i="1"/>
  <c r="J116" i="1" s="1"/>
  <c r="I112" i="1"/>
  <c r="J112" i="1" s="1"/>
  <c r="I108" i="1"/>
  <c r="J108" i="1" s="1"/>
  <c r="I101" i="1"/>
  <c r="J101" i="1" s="1"/>
  <c r="I96" i="1"/>
  <c r="J96" i="1" s="1"/>
  <c r="I91" i="1"/>
  <c r="J91" i="1" s="1"/>
  <c r="I86" i="1"/>
  <c r="J86" i="1" s="1"/>
  <c r="I79" i="1"/>
  <c r="J79" i="1" s="1"/>
  <c r="I73" i="1"/>
  <c r="J73" i="1" s="1"/>
  <c r="I68" i="1"/>
  <c r="J68" i="1" s="1"/>
  <c r="J63" i="1"/>
  <c r="J62" i="1" s="1"/>
  <c r="J54" i="1"/>
  <c r="I43" i="1"/>
  <c r="J43" i="1" s="1"/>
  <c r="I221" i="1"/>
  <c r="J221" i="1" s="1"/>
  <c r="I213" i="1"/>
  <c r="J213" i="1" s="1"/>
  <c r="I209" i="1"/>
  <c r="J209" i="1" s="1"/>
  <c r="I203" i="1"/>
  <c r="J203" i="1" s="1"/>
  <c r="I197" i="1"/>
  <c r="J197" i="1" s="1"/>
  <c r="I192" i="1"/>
  <c r="J192" i="1" s="1"/>
  <c r="I188" i="1"/>
  <c r="J188" i="1" s="1"/>
  <c r="I181" i="1"/>
  <c r="J181" i="1" s="1"/>
  <c r="I177" i="1"/>
  <c r="J177" i="1" s="1"/>
  <c r="I173" i="1"/>
  <c r="J173" i="1" s="1"/>
  <c r="I169" i="1"/>
  <c r="J169" i="1" s="1"/>
  <c r="I165" i="1"/>
  <c r="J165" i="1" s="1"/>
  <c r="I161" i="1"/>
  <c r="J161" i="1" s="1"/>
  <c r="I156" i="1"/>
  <c r="J156" i="1" s="1"/>
  <c r="I152" i="1"/>
  <c r="J152" i="1" s="1"/>
  <c r="I144" i="1"/>
  <c r="J144" i="1" s="1"/>
  <c r="I140" i="1"/>
  <c r="J140" i="1" s="1"/>
  <c r="I136" i="1"/>
  <c r="J136" i="1" s="1"/>
  <c r="I132" i="1"/>
  <c r="J132" i="1" s="1"/>
  <c r="I129" i="1"/>
  <c r="J129" i="1" s="1"/>
  <c r="I125" i="1"/>
  <c r="J125" i="1" s="1"/>
  <c r="I121" i="1"/>
  <c r="J121" i="1" s="1"/>
  <c r="I117" i="1"/>
  <c r="J117" i="1" s="1"/>
  <c r="I113" i="1"/>
  <c r="J113" i="1" s="1"/>
  <c r="I109" i="1"/>
  <c r="J109" i="1" s="1"/>
  <c r="I103" i="1"/>
  <c r="J103" i="1" s="1"/>
  <c r="I100" i="1"/>
  <c r="J100" i="1" s="1"/>
  <c r="I94" i="1"/>
  <c r="J94" i="1" s="1"/>
  <c r="J85" i="1"/>
  <c r="I77" i="1"/>
  <c r="J77" i="1" s="1"/>
  <c r="I72" i="1"/>
  <c r="J72" i="1" s="1"/>
  <c r="I67" i="1"/>
  <c r="J67" i="1" s="1"/>
  <c r="J60" i="1"/>
  <c r="J59" i="1" s="1"/>
  <c r="I51" i="1"/>
  <c r="J51" i="1" s="1"/>
  <c r="I44" i="1"/>
  <c r="J44" i="1" s="1"/>
  <c r="I34" i="1"/>
  <c r="I26" i="1"/>
  <c r="J26" i="1" s="1"/>
  <c r="I40" i="1"/>
  <c r="J40" i="1" s="1"/>
  <c r="I39" i="1"/>
  <c r="J39" i="1" s="1"/>
  <c r="I45" i="1"/>
  <c r="J45" i="1" s="1"/>
  <c r="I25" i="1"/>
  <c r="J25" i="1" s="1"/>
  <c r="J48" i="1"/>
  <c r="J47" i="1" s="1"/>
  <c r="I33" i="1"/>
  <c r="G33" i="1"/>
  <c r="J59" i="13"/>
  <c r="J58" i="13" s="1"/>
  <c r="J462" i="1" l="1"/>
  <c r="J339" i="1"/>
  <c r="J338" i="1" s="1"/>
  <c r="J343" i="1"/>
  <c r="J342" i="1" s="1"/>
  <c r="J436" i="1"/>
  <c r="J430" i="1"/>
  <c r="J443" i="1"/>
  <c r="J440" i="1" s="1"/>
  <c r="J422" i="1"/>
  <c r="J473" i="1"/>
  <c r="J377" i="1"/>
  <c r="J406" i="1"/>
  <c r="J359" i="1"/>
  <c r="J358" i="1" s="1"/>
  <c r="J466" i="1"/>
  <c r="J413" i="1"/>
  <c r="J447" i="1"/>
  <c r="J220" i="1"/>
  <c r="J265" i="1"/>
  <c r="J53" i="1"/>
  <c r="J52" i="1" s="1"/>
  <c r="D29" i="9" s="1"/>
  <c r="H30" i="9" s="1"/>
  <c r="G20" i="9"/>
  <c r="J305" i="1"/>
  <c r="D65" i="9" s="1"/>
  <c r="J24" i="1"/>
  <c r="F20" i="9"/>
  <c r="J187" i="1"/>
  <c r="J217" i="1"/>
  <c r="J291" i="1"/>
  <c r="J243" i="1"/>
  <c r="J247" i="1"/>
  <c r="J137" i="1"/>
  <c r="J194" i="1"/>
  <c r="J255" i="1"/>
  <c r="J274" i="1"/>
  <c r="D55" i="9" s="1"/>
  <c r="D57" i="9"/>
  <c r="J58" i="9" s="1"/>
  <c r="K58" i="9" s="1"/>
  <c r="I20" i="9"/>
  <c r="E20" i="9"/>
  <c r="H20" i="9"/>
  <c r="J20" i="9"/>
  <c r="D21" i="9"/>
  <c r="E22" i="9" s="1"/>
  <c r="J62" i="13"/>
  <c r="J98" i="1"/>
  <c r="J78" i="1"/>
  <c r="D37" i="9" s="1"/>
  <c r="I38" i="9" s="1"/>
  <c r="K38" i="9" s="1"/>
  <c r="J33" i="1"/>
  <c r="J90" i="1"/>
  <c r="J270" i="1"/>
  <c r="D53" i="9" s="1"/>
  <c r="J54" i="9" s="1"/>
  <c r="K54" i="9" s="1"/>
  <c r="J49" i="1"/>
  <c r="J46" i="1" s="1"/>
  <c r="D27" i="9" s="1"/>
  <c r="G28" i="9" s="1"/>
  <c r="K28" i="9" s="1"/>
  <c r="J38" i="1"/>
  <c r="J37" i="1" s="1"/>
  <c r="D25" i="9" s="1"/>
  <c r="F26" i="9" s="1"/>
  <c r="K26" i="9" s="1"/>
  <c r="J64" i="1"/>
  <c r="J158" i="1"/>
  <c r="D45" i="9" s="1"/>
  <c r="J205" i="1"/>
  <c r="D49" i="9" s="1"/>
  <c r="I50" i="9" s="1"/>
  <c r="K50" i="9" s="1"/>
  <c r="J75" i="1"/>
  <c r="D35" i="9" s="1"/>
  <c r="I36" i="9" s="1"/>
  <c r="K36" i="9" s="1"/>
  <c r="J201" i="1"/>
  <c r="J148" i="1"/>
  <c r="D43" i="9" s="1"/>
  <c r="J69" i="1"/>
  <c r="D33" i="9" s="1"/>
  <c r="H34" i="9" s="1"/>
  <c r="K34" i="9" s="1"/>
  <c r="J105" i="1"/>
  <c r="J231" i="1"/>
  <c r="D59" i="9"/>
  <c r="H60" i="9" s="1"/>
  <c r="K60" i="9" s="1"/>
  <c r="G34" i="1"/>
  <c r="J34" i="1" s="1"/>
  <c r="J61" i="13"/>
  <c r="G35" i="1" s="1"/>
  <c r="J35" i="1" s="1"/>
  <c r="J65" i="13"/>
  <c r="J64" i="13" s="1"/>
  <c r="G36" i="1" s="1"/>
  <c r="J36" i="1" s="1"/>
  <c r="J376" i="1" l="1"/>
  <c r="J419" i="1"/>
  <c r="I30" i="9"/>
  <c r="K30" i="9" s="1"/>
  <c r="H66" i="9"/>
  <c r="I66" i="9"/>
  <c r="J184" i="1"/>
  <c r="D47" i="9" s="1"/>
  <c r="J48" i="9" s="1"/>
  <c r="K48" i="9" s="1"/>
  <c r="J216" i="1"/>
  <c r="D51" i="9" s="1"/>
  <c r="J56" i="1"/>
  <c r="D31" i="9" s="1"/>
  <c r="I32" i="9" s="1"/>
  <c r="K32" i="9" s="1"/>
  <c r="K20" i="9"/>
  <c r="J89" i="1"/>
  <c r="D39" i="9" s="1"/>
  <c r="J40" i="9" s="1"/>
  <c r="K40" i="9" s="1"/>
  <c r="J104" i="1"/>
  <c r="D41" i="9" s="1"/>
  <c r="I56" i="9"/>
  <c r="J56" i="9"/>
  <c r="I44" i="9"/>
  <c r="H44" i="9"/>
  <c r="I46" i="9"/>
  <c r="J46" i="9"/>
  <c r="J32" i="1"/>
  <c r="J31" i="1" s="1"/>
  <c r="K22" i="9"/>
  <c r="H52" i="9" l="1"/>
  <c r="H69" i="9" s="1"/>
  <c r="G52" i="9"/>
  <c r="G69" i="9" s="1"/>
  <c r="F52" i="9"/>
  <c r="I52" i="9"/>
  <c r="I69" i="9" s="1"/>
  <c r="J69" i="9"/>
  <c r="J483" i="1"/>
  <c r="J321" i="1"/>
  <c r="K66" i="9"/>
  <c r="D23" i="9"/>
  <c r="F24" i="9" s="1"/>
  <c r="G105" i="9"/>
  <c r="I42" i="9"/>
  <c r="I105" i="9" s="1"/>
  <c r="J42" i="9"/>
  <c r="K46" i="9"/>
  <c r="K44" i="9"/>
  <c r="K56" i="9"/>
  <c r="J105" i="9" l="1"/>
  <c r="F69" i="9"/>
  <c r="K52" i="9"/>
  <c r="E24" i="9"/>
  <c r="E69" i="9" s="1"/>
  <c r="D69" i="9"/>
  <c r="D105" i="9" s="1"/>
  <c r="F105" i="9"/>
  <c r="H105" i="9"/>
  <c r="K42" i="9"/>
  <c r="G21" i="15"/>
  <c r="E70" i="9" l="1"/>
  <c r="E106" i="9" s="1"/>
  <c r="F106" i="9" s="1"/>
  <c r="G106" i="9" s="1"/>
  <c r="H106" i="9" s="1"/>
  <c r="I106" i="9" s="1"/>
  <c r="J106" i="9" s="1"/>
  <c r="E105" i="9"/>
  <c r="K24" i="9"/>
  <c r="K69" i="9" s="1"/>
  <c r="K105" i="9" s="1"/>
  <c r="F70" i="9" l="1"/>
  <c r="G70" i="9" s="1"/>
  <c r="H70" i="9" s="1"/>
  <c r="I70" i="9" s="1"/>
  <c r="J70" i="9" s="1"/>
</calcChain>
</file>

<file path=xl/sharedStrings.xml><?xml version="1.0" encoding="utf-8"?>
<sst xmlns="http://schemas.openxmlformats.org/spreadsheetml/2006/main" count="6153" uniqueCount="2131">
  <si>
    <t>PREFEITURA MUNICIPAL DE SÃO MATEUS
Estado do Espírito Santo
Secretaria Municipal de Obras, Infraestrutura e Transporte
Departamento Engenharia</t>
  </si>
  <si>
    <r>
      <t>Município</t>
    </r>
    <r>
      <rPr>
        <sz val="11"/>
        <color theme="1"/>
        <rFont val="Calibri"/>
        <family val="2"/>
        <scheme val="minor"/>
      </rPr>
      <t>: São Mateus / ES</t>
    </r>
  </si>
  <si>
    <r>
      <t>Endereço</t>
    </r>
    <r>
      <rPr>
        <sz val="11"/>
        <color theme="1"/>
        <rFont val="Calibri"/>
        <family val="2"/>
        <scheme val="minor"/>
      </rPr>
      <t>: Av. José Tozze, no 2.220 - Centro</t>
    </r>
  </si>
  <si>
    <r>
      <t xml:space="preserve">Preço base: </t>
    </r>
    <r>
      <rPr>
        <sz val="11"/>
        <color theme="1"/>
        <rFont val="Calibri"/>
        <family val="2"/>
        <scheme val="minor"/>
      </rPr>
      <t xml:space="preserve">SINAPI/ IOPES/ EMOP - JUNH0/2017 COM DESONERAÇÃO                                         </t>
    </r>
  </si>
  <si>
    <t>% BDI =</t>
  </si>
  <si>
    <t>LEIS SOCIAIS:       91,50%</t>
  </si>
  <si>
    <t>PLANILHA ORÇAMENTÁRIA</t>
  </si>
  <si>
    <t>AMPLIAÇÃO DA UNIDADE DE SAÚDE 3</t>
  </si>
  <si>
    <t>Endereço: Av. José Tozze, no 2.220 - Centro - São Mateus</t>
  </si>
  <si>
    <r>
      <rPr>
        <sz val="11"/>
        <rFont val="Calibri"/>
        <family val="2"/>
        <scheme val="minor"/>
      </rPr>
      <t>ITEM</t>
    </r>
  </si>
  <si>
    <r>
      <rPr>
        <sz val="11"/>
        <rFont val="Calibri"/>
        <family val="2"/>
        <scheme val="minor"/>
      </rPr>
      <t>CÓDIGO</t>
    </r>
  </si>
  <si>
    <r>
      <rPr>
        <sz val="11"/>
        <rFont val="Calibri"/>
        <family val="2"/>
        <scheme val="minor"/>
      </rPr>
      <t>DESCRIÇÃO</t>
    </r>
  </si>
  <si>
    <r>
      <rPr>
        <sz val="11"/>
        <rFont val="Calibri"/>
        <family val="2"/>
        <scheme val="minor"/>
      </rPr>
      <t>FONTE</t>
    </r>
  </si>
  <si>
    <r>
      <rPr>
        <sz val="11"/>
        <rFont val="Calibri"/>
        <family val="2"/>
        <scheme val="minor"/>
      </rPr>
      <t>UND</t>
    </r>
  </si>
  <si>
    <t>QUANT</t>
  </si>
  <si>
    <r>
      <rPr>
        <sz val="11"/>
        <rFont val="Calibri"/>
        <family val="2"/>
        <scheme val="minor"/>
      </rPr>
      <t>PREÇO
UNITÁRIO R$</t>
    </r>
  </si>
  <si>
    <t>PREÇO
UNITÁRIO C/ BDI R$</t>
  </si>
  <si>
    <r>
      <rPr>
        <sz val="11"/>
        <rFont val="Calibri"/>
        <family val="2"/>
        <scheme val="minor"/>
      </rPr>
      <t>PREÇO
TOTAL R$</t>
    </r>
  </si>
  <si>
    <t>-</t>
  </si>
  <si>
    <r>
      <rPr>
        <b/>
        <sz val="10"/>
        <rFont val="Arial"/>
        <family val="2"/>
      </rPr>
      <t>1</t>
    </r>
  </si>
  <si>
    <t>ADMINISTRAÇÃO LOCAL DA OBRA</t>
  </si>
  <si>
    <t>COMP</t>
  </si>
  <si>
    <t>ADMINISTRAÇÃO LOCAL</t>
  </si>
  <si>
    <t>UN</t>
  </si>
  <si>
    <r>
      <rPr>
        <b/>
        <sz val="10"/>
        <rFont val="Arial"/>
        <family val="2"/>
      </rPr>
      <t>SERVIÇOS PRELIMINARES</t>
    </r>
  </si>
  <si>
    <t>74209/1</t>
  </si>
  <si>
    <r>
      <rPr>
        <sz val="10"/>
        <rFont val="Arial"/>
        <family val="2"/>
      </rPr>
      <t>Placa da obra - padrão Governo Federal</t>
    </r>
  </si>
  <si>
    <r>
      <rPr>
        <sz val="10"/>
        <rFont val="Arial"/>
        <family val="2"/>
      </rPr>
      <t>SINAPI</t>
    </r>
  </si>
  <si>
    <r>
      <rPr>
        <sz val="10"/>
        <rFont val="Arial"/>
        <family val="2"/>
      </rPr>
      <t>M2</t>
    </r>
  </si>
  <si>
    <t>284,75</t>
  </si>
  <si>
    <t>74077/2</t>
  </si>
  <si>
    <r>
      <rPr>
        <sz val="10"/>
        <rFont val="Arial"/>
        <family val="2"/>
      </rPr>
      <t>Locação da obra (execução de gabarito)</t>
    </r>
  </si>
  <si>
    <t>4,10</t>
  </si>
  <si>
    <r>
      <rPr>
        <sz val="10"/>
        <rFont val="Arial"/>
        <family val="2"/>
      </rPr>
      <t>UN</t>
    </r>
  </si>
  <si>
    <t>74220/1</t>
  </si>
  <si>
    <r>
      <rPr>
        <sz val="10"/>
        <rFont val="Arial"/>
        <family val="2"/>
      </rPr>
      <t>Tapume de chapa de madeira compensada, 6mm (40x2,00m, frente do terreno)</t>
    </r>
  </si>
  <si>
    <t>52,99</t>
  </si>
  <si>
    <r>
      <rPr>
        <b/>
        <sz val="10"/>
        <rFont val="Arial"/>
        <family val="2"/>
      </rPr>
      <t>MOVIMENTO DE TERRAS</t>
    </r>
  </si>
  <si>
    <r>
      <rPr>
        <b/>
        <sz val="10"/>
        <rFont val="Arial"/>
        <family val="2"/>
      </rPr>
      <t>FUNDAÇÕES</t>
    </r>
  </si>
  <si>
    <r>
      <rPr>
        <sz val="10"/>
        <rFont val="Arial"/>
        <family val="2"/>
      </rPr>
      <t>93358</t>
    </r>
  </si>
  <si>
    <r>
      <rPr>
        <sz val="10"/>
        <rFont val="Arial"/>
        <family val="2"/>
      </rPr>
      <t>ESCAVAÇÃO MANUAL DE VALAS. AF_03/2016</t>
    </r>
  </si>
  <si>
    <r>
      <rPr>
        <sz val="10"/>
        <rFont val="Arial"/>
        <family val="2"/>
      </rPr>
      <t>M3</t>
    </r>
  </si>
  <si>
    <t>54,23</t>
  </si>
  <si>
    <t>73964/6</t>
  </si>
  <si>
    <r>
      <rPr>
        <sz val="10"/>
        <rFont val="Arial"/>
        <family val="2"/>
      </rPr>
      <t>REATERRO DE VALA COM COMPACTAÇÃO MANUAL</t>
    </r>
  </si>
  <si>
    <t>41,13</t>
  </si>
  <si>
    <r>
      <rPr>
        <sz val="10"/>
        <rFont val="Arial"/>
        <family val="2"/>
      </rPr>
      <t>SAPATAS</t>
    </r>
  </si>
  <si>
    <r>
      <rPr>
        <sz val="10"/>
        <rFont val="Arial"/>
        <family val="2"/>
      </rPr>
      <t>95240</t>
    </r>
  </si>
  <si>
    <r>
      <rPr>
        <sz val="10"/>
        <rFont val="Arial"/>
        <family val="2"/>
      </rPr>
      <t>92919</t>
    </r>
  </si>
  <si>
    <r>
      <rPr>
        <sz val="10"/>
        <rFont val="Arial"/>
        <family val="2"/>
      </rPr>
      <t>ARMAÇÃO DE ESTRUTURAS DE CONCRETO ARMADO, EXCETO VIGAS, PILARES, LAJES E FUNDAÇÕES PROFUNDAS (DE EDIFÍCIOS DE MÚLTIPLOS PAVIMENTOS, EDIFICAÇÃO TÉRREA OU SOBRADO), UTILIZANDO AÇO CA-50 DE 10,0 MM - MONTAGEM. AF_12/2015</t>
    </r>
  </si>
  <si>
    <r>
      <rPr>
        <sz val="10"/>
        <rFont val="Arial"/>
        <family val="2"/>
      </rPr>
      <t>KG</t>
    </r>
  </si>
  <si>
    <t>8,43</t>
  </si>
  <si>
    <r>
      <rPr>
        <sz val="10"/>
        <rFont val="Arial"/>
        <family val="2"/>
      </rPr>
      <t>92921</t>
    </r>
  </si>
  <si>
    <r>
      <rPr>
        <sz val="10"/>
        <rFont val="Arial"/>
        <family val="2"/>
      </rPr>
      <t>ARMAÇÃO DE ESTRUTURAS DE CONCRETO ARMADO, EXCETO VIGAS, PILARES, LAJES E FUNDAÇÕES PROFUNDAS (DE EDIFÍCIOS DE MÚLTIPLOS PAVIMENTOS, EDIFICAÇÃO TÉRREA OU SOBRADO), UTILIZANDO AÇO CA-50 DE 12,5 MM - MONTAGEM. AF_12/2015</t>
    </r>
  </si>
  <si>
    <t>6,96</t>
  </si>
  <si>
    <r>
      <rPr>
        <sz val="10"/>
        <rFont val="Arial"/>
        <family val="2"/>
      </rPr>
      <t>92922</t>
    </r>
  </si>
  <si>
    <r>
      <rPr>
        <sz val="10"/>
        <rFont val="Arial"/>
        <family val="2"/>
      </rPr>
      <t>ARMAÇÃO DE ESTRUTURAS DE CONCRETO ARMADO, EXCETO VIGAS, PILARES, LAJES E FUNDAÇÕES PROFUNDAS (DE EDIFÍCIOS DE MÚLTIPLOS PAVIMENTOS, EDIFICAÇÃO TÉRREA OU SOBRADO), UTILIZANDO AÇO CA-50 DE 16,0 MM - MONTAGEM. AF_12/2015</t>
    </r>
  </si>
  <si>
    <t>5,42</t>
  </si>
  <si>
    <r>
      <rPr>
        <b/>
        <sz val="10"/>
        <rFont val="Arial"/>
        <family val="2"/>
      </rPr>
      <t>SUPERESTRUTURA</t>
    </r>
  </si>
  <si>
    <r>
      <rPr>
        <b/>
        <sz val="10"/>
        <rFont val="Arial"/>
        <family val="2"/>
      </rPr>
      <t>ESTRUTURA METÁLICA</t>
    </r>
  </si>
  <si>
    <r>
      <rPr>
        <sz val="10"/>
        <rFont val="Arial"/>
        <family val="2"/>
      </rPr>
      <t>kg</t>
    </r>
  </si>
  <si>
    <t>LAJE</t>
  </si>
  <si>
    <t>74202/2</t>
  </si>
  <si>
    <r>
      <rPr>
        <sz val="10"/>
        <rFont val="Arial"/>
        <family val="2"/>
      </rPr>
      <t>LAJE PRE-MOLDADA P/PISO, SOBRECARGA 200KG/M2, VAOS ATE 3,50M/E=8CM, C/LAJOTAS E CAP.C/CONC FCK=20MPA, 4CM, INTER-EIXO 38CM, C/ESCORAMENTO (REAPR.3X) E FERRAGEM NEGATIVA</t>
    </r>
  </si>
  <si>
    <t>61,25</t>
  </si>
  <si>
    <t>73994/1</t>
  </si>
  <si>
    <r>
      <rPr>
        <sz val="10"/>
        <rFont val="Arial"/>
        <family val="2"/>
      </rPr>
      <t>ARMACAO EM TELA DE ACO SOLDADA NERVURADA Q-138, ACO CA-60, 4,2MM, MALHA 10X10CM</t>
    </r>
  </si>
  <si>
    <t>5,65</t>
  </si>
  <si>
    <r>
      <rPr>
        <b/>
        <sz val="10"/>
        <rFont val="Arial"/>
        <family val="2"/>
      </rPr>
      <t>SISTEMA DE VEDAÇÃO VERTICAL (PAREDES)</t>
    </r>
  </si>
  <si>
    <r>
      <rPr>
        <b/>
        <sz val="10"/>
        <rFont val="Arial"/>
        <family val="2"/>
      </rPr>
      <t>ALVENARIA DE VEDAÇÃO - 2o PAVIMENTO</t>
    </r>
  </si>
  <si>
    <r>
      <rPr>
        <sz val="10"/>
        <rFont val="Arial"/>
        <family val="2"/>
      </rPr>
      <t>m2</t>
    </r>
  </si>
  <si>
    <r>
      <rPr>
        <sz val="10"/>
        <rFont val="Arial"/>
        <family val="2"/>
      </rPr>
      <t>79627</t>
    </r>
  </si>
  <si>
    <t>333,75</t>
  </si>
  <si>
    <r>
      <rPr>
        <b/>
        <sz val="10"/>
        <rFont val="Arial"/>
        <family val="2"/>
      </rPr>
      <t>ESQUADRIAS</t>
    </r>
  </si>
  <si>
    <r>
      <rPr>
        <b/>
        <sz val="10"/>
        <rFont val="Arial"/>
        <family val="2"/>
      </rPr>
      <t>PORTAS DE ALUMÍNIO - PA</t>
    </r>
  </si>
  <si>
    <r>
      <rPr>
        <sz val="10"/>
        <rFont val="Arial"/>
        <family val="2"/>
      </rPr>
      <t>00004917</t>
    </r>
  </si>
  <si>
    <r>
      <rPr>
        <sz val="10"/>
        <rFont val="Arial"/>
        <family val="2"/>
      </rPr>
      <t>PORTA DE ABRIR EM ALUMINIO</t>
    </r>
  </si>
  <si>
    <t>PORTAS DE PAINEL METÁLICO - PP</t>
  </si>
  <si>
    <r>
      <rPr>
        <b/>
        <sz val="10"/>
        <rFont val="Arial"/>
        <family val="2"/>
      </rPr>
      <t>PORTAS DE VIDRO - PV</t>
    </r>
  </si>
  <si>
    <t>73838/1</t>
  </si>
  <si>
    <r>
      <rPr>
        <sz val="10"/>
        <rFont val="Arial"/>
        <family val="2"/>
      </rPr>
      <t>PORTA DE VIDRO TEMPERADO, 0,9X2,10M, ESPESSURA 10MM, INCLUSIVE ACESSORIOS</t>
    </r>
  </si>
  <si>
    <t>1.631,51</t>
  </si>
  <si>
    <r>
      <rPr>
        <b/>
        <sz val="10"/>
        <rFont val="Arial"/>
        <family val="2"/>
      </rPr>
      <t>JANELAS DE ALUMÍNIO - JÁ</t>
    </r>
  </si>
  <si>
    <r>
      <rPr>
        <sz val="10"/>
        <rFont val="Arial"/>
        <family val="2"/>
      </rPr>
      <t>94582</t>
    </r>
  </si>
  <si>
    <r>
      <rPr>
        <sz val="10"/>
        <rFont val="Arial"/>
        <family val="2"/>
      </rPr>
      <t>J1 - JANELA DE ALUMÍNIO DE CORRER, 2 FOLHAS, FIXAÇÃO COM ARGAMASSA, COM VIDROS, PADRONIZADA. AF_07/2016</t>
    </r>
  </si>
  <si>
    <t>477,23</t>
  </si>
  <si>
    <r>
      <rPr>
        <sz val="10"/>
        <rFont val="Arial"/>
        <family val="2"/>
      </rPr>
      <t>94569</t>
    </r>
  </si>
  <si>
    <r>
      <rPr>
        <sz val="10"/>
        <rFont val="Arial"/>
        <family val="2"/>
      </rPr>
      <t>J2 - JANELA DE ALUMÍNIO MAXIM-AR, FIXAÇÃO COM PARAFUSO SOBRE CONTRAMARCO (EXCLUSIVE CONTRAMARCO), COM VIDROS, PADRONIZADA. AF_07/2016</t>
    </r>
  </si>
  <si>
    <t>508,32</t>
  </si>
  <si>
    <r>
      <rPr>
        <sz val="10"/>
        <rFont val="Arial"/>
        <family val="2"/>
      </rPr>
      <t>J3 - JANELA DE ALUMÍNIO MAXIM-AR, FIXAÇÃO COM PARAFUSO SOBRE CONTRAMARCO (EXCLUSIVE CONTRAMARCO), COM VIDROS, PADRONIZADA. AF_07/2016</t>
    </r>
  </si>
  <si>
    <r>
      <rPr>
        <sz val="10"/>
        <rFont val="Arial"/>
        <family val="2"/>
      </rPr>
      <t>J4 - JANELA DE ALUMÍNIO DE CORRER, 2 FOLHAS, FIXAÇÃO COM ARGAMASSA, COM VIDROS, PADRONIZADA. AF_07/2016</t>
    </r>
  </si>
  <si>
    <r>
      <rPr>
        <b/>
        <sz val="10"/>
        <rFont val="Arial"/>
        <family val="2"/>
      </rPr>
      <t>COBERTURA</t>
    </r>
  </si>
  <si>
    <r>
      <rPr>
        <sz val="10"/>
        <rFont val="Arial"/>
        <family val="2"/>
      </rPr>
      <t>94216</t>
    </r>
  </si>
  <si>
    <r>
      <rPr>
        <sz val="10"/>
        <rFont val="Arial"/>
        <family val="2"/>
      </rPr>
      <t>TELHAMENTO COM TELHA METÁLICA TERMOACÚSTICA E = 30 MM, COM ATÉ 2 ÁGUAS, INCLUSO IÇAMENTO. AF_06/2016</t>
    </r>
  </si>
  <si>
    <t>100,51</t>
  </si>
  <si>
    <r>
      <rPr>
        <sz val="10"/>
        <rFont val="Arial"/>
        <family val="2"/>
      </rPr>
      <t>75220</t>
    </r>
  </si>
  <si>
    <r>
      <rPr>
        <sz val="10"/>
        <rFont val="Arial"/>
        <family val="2"/>
      </rPr>
      <t>Cumeeira em perfil ondulado de aço zincado</t>
    </r>
  </si>
  <si>
    <r>
      <rPr>
        <sz val="10"/>
        <rFont val="Arial"/>
        <family val="2"/>
      </rPr>
      <t>M</t>
    </r>
  </si>
  <si>
    <t>31,96</t>
  </si>
  <si>
    <r>
      <rPr>
        <sz val="10"/>
        <rFont val="Arial"/>
        <family val="2"/>
      </rPr>
      <t>94231</t>
    </r>
  </si>
  <si>
    <r>
      <rPr>
        <sz val="10"/>
        <rFont val="Arial"/>
        <family val="2"/>
      </rPr>
      <t>RUFO EM CHAPA DE AÇO GALVANIZADO NÚMERO 24, CORTE DE 25 CM, INCLUSO TRANSPORTE VERTICAL. AF_06/2016</t>
    </r>
  </si>
  <si>
    <t>26,76</t>
  </si>
  <si>
    <r>
      <rPr>
        <sz val="10"/>
        <rFont val="Arial"/>
        <family val="2"/>
      </rPr>
      <t>94229</t>
    </r>
  </si>
  <si>
    <r>
      <rPr>
        <sz val="10"/>
        <rFont val="Arial"/>
        <family val="2"/>
      </rPr>
      <t>CALHA EM CHAPA DE AÇO GALVANIZADO NÚMERO 24, DESENVOLVIMENTO DE 100 CM, INCLUSO TRANSPORTE VERTICAL. AF_06/2016</t>
    </r>
  </si>
  <si>
    <t>97,20</t>
  </si>
  <si>
    <r>
      <rPr>
        <b/>
        <sz val="10"/>
        <rFont val="Arial"/>
        <family val="2"/>
      </rPr>
      <t>IMPERMEABILIZAÇÃO</t>
    </r>
  </si>
  <si>
    <r>
      <rPr>
        <sz val="10"/>
        <rFont val="Arial"/>
        <family val="2"/>
      </rPr>
      <t>IMPERMEABILIZACAO COM PINTURA A BASE DE RESINA EPOXI ALCATRAO, UMA DEMAO.</t>
    </r>
  </si>
  <si>
    <t>73753/1</t>
  </si>
  <si>
    <r>
      <rPr>
        <sz val="10"/>
        <rFont val="Arial"/>
        <family val="2"/>
      </rPr>
      <t>IMPERMEABILIZACAO DE SUPERFICIE COM MANTA ASFALTICA PROTEGIDA COM FILME DE ALUMINIO GOFRADO (DE ESPESSURA 0,8MM), INCLUSA APLICACAO DE EMULSAO ASFALTICA, E=3MM.</t>
    </r>
  </si>
  <si>
    <t>72,45</t>
  </si>
  <si>
    <r>
      <rPr>
        <sz val="10"/>
        <rFont val="Arial"/>
        <family val="2"/>
      </rPr>
      <t>87272</t>
    </r>
  </si>
  <si>
    <t>62,22</t>
  </si>
  <si>
    <r>
      <rPr>
        <sz val="10"/>
        <rFont val="Arial"/>
        <family val="2"/>
      </rPr>
      <t>85010</t>
    </r>
  </si>
  <si>
    <r>
      <rPr>
        <sz val="10"/>
        <rFont val="Arial"/>
        <family val="2"/>
      </rPr>
      <t>CAIXILHO FIXO, DE ALUMINIO, PARA VIDRO</t>
    </r>
  </si>
  <si>
    <t>433,82</t>
  </si>
  <si>
    <r>
      <rPr>
        <sz val="10"/>
        <rFont val="Arial"/>
        <family val="2"/>
      </rPr>
      <t>00034391</t>
    </r>
  </si>
  <si>
    <r>
      <rPr>
        <sz val="10"/>
        <rFont val="Arial"/>
        <family val="2"/>
      </rPr>
      <t>VIDRO COMUM LAMINADO LISO INCOLOR DUPLO, ESPESSURA TOTAL 8 MM (CADA CAMADA DE 4 MM) - COLOCADO</t>
    </r>
  </si>
  <si>
    <r>
      <rPr>
        <b/>
        <sz val="10"/>
        <rFont val="Arial"/>
        <family val="2"/>
      </rPr>
      <t>SISTEMAS DE PISOS INTERNOS E EXTERNOS (PAVIMENTAÇÃO)</t>
    </r>
  </si>
  <si>
    <r>
      <rPr>
        <sz val="10"/>
        <rFont val="Arial"/>
        <family val="2"/>
      </rPr>
      <t>PAVIMENTAÇÃO INTERNA</t>
    </r>
  </si>
  <si>
    <r>
      <rPr>
        <sz val="10"/>
        <rFont val="Arial"/>
        <family val="2"/>
      </rPr>
      <t>94438</t>
    </r>
  </si>
  <si>
    <r>
      <rPr>
        <sz val="10"/>
        <rFont val="Arial"/>
        <family val="2"/>
      </rPr>
      <t>BASE OU CAMADA REGULARIZADORA,EXECUTADA COM ARGAMASSA DE CIMENTO A AREIA,NO TRACO 1:4,NA ESPESSURA DE 2CM</t>
    </r>
  </si>
  <si>
    <t>26,57</t>
  </si>
  <si>
    <r>
      <rPr>
        <sz val="10"/>
        <rFont val="Arial"/>
        <family val="2"/>
      </rPr>
      <t>87251</t>
    </r>
  </si>
  <si>
    <r>
      <rPr>
        <sz val="10"/>
        <rFont val="Arial"/>
        <family val="2"/>
      </rPr>
      <t>Piso cerâmico antiderrapante PEI V - 40 x 40 cm - incl. rejunte - conforme projeto</t>
    </r>
  </si>
  <si>
    <t>26,74</t>
  </si>
  <si>
    <r>
      <rPr>
        <sz val="10"/>
        <rFont val="Arial"/>
        <family val="2"/>
      </rPr>
      <t>72185</t>
    </r>
  </si>
  <si>
    <r>
      <rPr>
        <sz val="10"/>
        <rFont val="Arial"/>
        <family val="2"/>
      </rPr>
      <t>Piso vinílico em manta e=2,0mm</t>
    </r>
  </si>
  <si>
    <t>68,21</t>
  </si>
  <si>
    <r>
      <rPr>
        <b/>
        <sz val="10"/>
        <rFont val="Arial"/>
        <family val="2"/>
      </rPr>
      <t>PAVIMENTAÇÃO EXTERNA</t>
    </r>
  </si>
  <si>
    <r>
      <rPr>
        <sz val="10"/>
        <rFont val="Arial"/>
        <family val="2"/>
      </rPr>
      <t>94992</t>
    </r>
  </si>
  <si>
    <r>
      <rPr>
        <sz val="10"/>
        <rFont val="Arial"/>
        <family val="2"/>
      </rPr>
      <t>Passeio em concreto desempenado com junta plastica a cada 1,20m, e=7cm</t>
    </r>
  </si>
  <si>
    <t>45,95</t>
  </si>
  <si>
    <r>
      <rPr>
        <sz val="10"/>
        <rFont val="Arial"/>
        <family val="2"/>
      </rPr>
      <t>92395</t>
    </r>
  </si>
  <si>
    <r>
      <rPr>
        <sz val="10"/>
        <rFont val="Arial"/>
        <family val="2"/>
      </rPr>
      <t>EXECUÇÃO DE PAVIMENTO EM PISO INTERTRAVADO, COM BLOCO SEXTAVADO DE 25 X 25 CM, ESPESSURA 10 CM. AF_12/2015</t>
    </r>
  </si>
  <si>
    <t>63,93</t>
  </si>
  <si>
    <r>
      <rPr>
        <sz val="10"/>
        <rFont val="Arial"/>
        <family val="2"/>
      </rPr>
      <t>94274</t>
    </r>
  </si>
  <si>
    <r>
      <rPr>
        <sz val="10"/>
        <rFont val="Arial"/>
        <family val="2"/>
      </rPr>
      <t>Meio -fio (guia) de concreto pré-moldado, rejuntado com argamassa, incluindo escavação e reaterro</t>
    </r>
  </si>
  <si>
    <t>32,54</t>
  </si>
  <si>
    <t>74236/1</t>
  </si>
  <si>
    <r>
      <rPr>
        <sz val="10"/>
        <rFont val="Arial"/>
        <family val="2"/>
      </rPr>
      <t>Grama batatais em placas</t>
    </r>
  </si>
  <si>
    <t>10,14</t>
  </si>
  <si>
    <r>
      <rPr>
        <b/>
        <sz val="10"/>
        <rFont val="Arial"/>
        <family val="2"/>
      </rPr>
      <t>INSTALAÇÃO HIDRÁULICA</t>
    </r>
  </si>
  <si>
    <r>
      <rPr>
        <b/>
        <sz val="10"/>
        <rFont val="Arial"/>
        <family val="2"/>
      </rPr>
      <t>TUBULAÇÕES E CONEXÕES DE PVC RÍGIDO</t>
    </r>
  </si>
  <si>
    <r>
      <rPr>
        <sz val="10"/>
        <rFont val="Arial"/>
        <family val="2"/>
      </rPr>
      <t>89446</t>
    </r>
  </si>
  <si>
    <r>
      <rPr>
        <sz val="10"/>
        <rFont val="Arial"/>
        <family val="2"/>
      </rPr>
      <t>Tubo PVC soldável Ø 25 mm, fornecimento e instalação</t>
    </r>
  </si>
  <si>
    <t>3,85</t>
  </si>
  <si>
    <r>
      <rPr>
        <sz val="10"/>
        <rFont val="Arial"/>
        <family val="2"/>
      </rPr>
      <t>89447</t>
    </r>
  </si>
  <si>
    <r>
      <rPr>
        <sz val="10"/>
        <rFont val="Arial"/>
        <family val="2"/>
      </rPr>
      <t>Tubo PVC soldável Ø 32 mm, fornecimento e instalação</t>
    </r>
  </si>
  <si>
    <t>7,80</t>
  </si>
  <si>
    <r>
      <rPr>
        <sz val="10"/>
        <rFont val="Arial"/>
        <family val="2"/>
      </rPr>
      <t>89448</t>
    </r>
  </si>
  <si>
    <r>
      <rPr>
        <sz val="10"/>
        <rFont val="Arial"/>
        <family val="2"/>
      </rPr>
      <t>TUBO, PVC, SOLDÁVEL, DN 40MM, INSTALADO EM PRUMADA DE ÁGUA - FORNECIMENTO E INSTALAÇÃO. AF_12/2014</t>
    </r>
  </si>
  <si>
    <t>11,22</t>
  </si>
  <si>
    <r>
      <rPr>
        <sz val="10"/>
        <rFont val="Arial"/>
        <family val="2"/>
      </rPr>
      <t>89449</t>
    </r>
  </si>
  <si>
    <r>
      <rPr>
        <sz val="10"/>
        <rFont val="Arial"/>
        <family val="2"/>
      </rPr>
      <t>Tubo PVC soldável Ø 50 mm, fornecimento e instalação</t>
    </r>
  </si>
  <si>
    <t>13,89</t>
  </si>
  <si>
    <r>
      <rPr>
        <sz val="10"/>
        <rFont val="Arial"/>
        <family val="2"/>
      </rPr>
      <t>89450</t>
    </r>
  </si>
  <si>
    <r>
      <rPr>
        <sz val="10"/>
        <rFont val="Arial"/>
        <family val="2"/>
      </rPr>
      <t>Tubo PVC soldável Ø 60 mm, fornecimento e instalação</t>
    </r>
  </si>
  <si>
    <t>21,29</t>
  </si>
  <si>
    <r>
      <rPr>
        <sz val="10"/>
        <rFont val="Arial"/>
        <family val="2"/>
      </rPr>
      <t>LUVA PVC SOLDAVEL, 40 MM, PARA AGUA FRIA PREDIAL</t>
    </r>
  </si>
  <si>
    <r>
      <rPr>
        <sz val="10"/>
        <rFont val="Arial"/>
        <family val="2"/>
      </rPr>
      <t>89364</t>
    </r>
  </si>
  <si>
    <r>
      <rPr>
        <sz val="10"/>
        <rFont val="Arial"/>
        <family val="2"/>
      </rPr>
      <t>CURVA 90 GRAUS, PVC, SOLDÁVEL, DN 25MM, INSTALADO EM RAMAL OU SUB-RAMAL DE ÁGUA - FORNECIMENTO E INSTALAÇÃO. AF_12/2014</t>
    </r>
  </si>
  <si>
    <t>8,00</t>
  </si>
  <si>
    <r>
      <rPr>
        <sz val="10"/>
        <rFont val="Arial"/>
        <family val="2"/>
      </rPr>
      <t>89494</t>
    </r>
  </si>
  <si>
    <r>
      <rPr>
        <sz val="10"/>
        <rFont val="Arial"/>
        <family val="2"/>
      </rPr>
      <t>CURVA 90 GRAUS, PVC, SOLDÁVEL, DN 32MM, INSTALADO EM PRUMADA DE ÁGUA - FORNECIMENTO E INSTALAÇÃO. AF_12/2014</t>
    </r>
  </si>
  <si>
    <t>8,06</t>
  </si>
  <si>
    <r>
      <rPr>
        <sz val="10"/>
        <rFont val="Arial"/>
        <family val="2"/>
      </rPr>
      <t>89503</t>
    </r>
  </si>
  <si>
    <r>
      <rPr>
        <sz val="10"/>
        <rFont val="Arial"/>
        <family val="2"/>
      </rPr>
      <t>CURVA 90 GRAUS, PVC, SOLDÁVEL, DN 50MM, INSTALADO EM PRUMADA DE ÁGUA - FORNECIMENTO E INSTALAÇÃO. AF_12/2014</t>
    </r>
  </si>
  <si>
    <t>14,91</t>
  </si>
  <si>
    <r>
      <rPr>
        <sz val="10"/>
        <rFont val="Arial"/>
        <family val="2"/>
      </rPr>
      <t>89507</t>
    </r>
  </si>
  <si>
    <r>
      <rPr>
        <sz val="10"/>
        <rFont val="Arial"/>
        <family val="2"/>
      </rPr>
      <t>CURVA 90 GRAUS, PVC, SOLDÁVEL, DN 60MM, INSTALADO EM PRUMADA DE ÁGUA - FORNECIMENTO E INSTALAÇÃO. AF_12/2014</t>
    </r>
  </si>
  <si>
    <t>28,36</t>
  </si>
  <si>
    <r>
      <rPr>
        <sz val="10"/>
        <rFont val="Arial"/>
        <family val="2"/>
      </rPr>
      <t>89362</t>
    </r>
  </si>
  <si>
    <r>
      <rPr>
        <sz val="10"/>
        <rFont val="Arial"/>
        <family val="2"/>
      </rPr>
      <t>Joelho 90 soldável - 25mm, fornecimento e instalação</t>
    </r>
  </si>
  <si>
    <t>6,28</t>
  </si>
  <si>
    <r>
      <rPr>
        <sz val="10"/>
        <rFont val="Arial"/>
        <family val="2"/>
      </rPr>
      <t>89367</t>
    </r>
  </si>
  <si>
    <r>
      <rPr>
        <sz val="10"/>
        <rFont val="Arial"/>
        <family val="2"/>
      </rPr>
      <t>Joelho 90 soldável - 32mm, fornecimento e instalação</t>
    </r>
  </si>
  <si>
    <t>8,37</t>
  </si>
  <si>
    <r>
      <rPr>
        <sz val="10"/>
        <rFont val="Arial"/>
        <family val="2"/>
      </rPr>
      <t>90373</t>
    </r>
  </si>
  <si>
    <r>
      <rPr>
        <sz val="10"/>
        <rFont val="Arial"/>
        <family val="2"/>
      </rPr>
      <t>Joelho 90º soldavel com bucha de latão - 25mm - 3/4", fornecimento e instalação</t>
    </r>
  </si>
  <si>
    <t>9,93</t>
  </si>
  <si>
    <r>
      <rPr>
        <sz val="10"/>
        <rFont val="Arial"/>
        <family val="2"/>
      </rPr>
      <t>JOELHO DE REDUCAO, PVC SOLDAVEL, 90 GRAUS, 25 MM X 20 MM, PARA AGUA FRIAPREDIAL</t>
    </r>
  </si>
  <si>
    <r>
      <rPr>
        <sz val="10"/>
        <rFont val="Arial"/>
        <family val="2"/>
      </rPr>
      <t>89424</t>
    </r>
  </si>
  <si>
    <r>
      <rPr>
        <sz val="10"/>
        <rFont val="Arial"/>
        <family val="2"/>
      </rPr>
      <t>LUVA, PVC, SOLDÁVEL, DN 25MM, INSTALADO EM RAMAL DE DISTRIBUIÇÃO DE ÁGUA - FORNECIMENTO E INSTALAÇÃO. AF_12/2014</t>
    </r>
  </si>
  <si>
    <t>3,40</t>
  </si>
  <si>
    <r>
      <rPr>
        <sz val="10"/>
        <rFont val="Arial"/>
        <family val="2"/>
      </rPr>
      <t>89431</t>
    </r>
  </si>
  <si>
    <r>
      <rPr>
        <sz val="10"/>
        <rFont val="Arial"/>
        <family val="2"/>
      </rPr>
      <t>LUVA, PVC, SOLDÁVEL, DN 32MM, INSTALADO EM RAMAL DE DISTRIBUIÇÃO DE ÁGUA - FORNECIMENTO E INSTALAÇÃO. AF_12/2014</t>
    </r>
  </si>
  <si>
    <t>4,73</t>
  </si>
  <si>
    <r>
      <rPr>
        <sz val="10"/>
        <rFont val="Arial"/>
        <family val="2"/>
      </rPr>
      <t>89433</t>
    </r>
  </si>
  <si>
    <r>
      <rPr>
        <sz val="10"/>
        <rFont val="Arial"/>
        <family val="2"/>
      </rPr>
      <t>LUVA DE REDUÇÃO, PVC, SOLDÁVEL, DN 40MM X 32MM, INSTALADO EM RAMAL DE DISTRIBUIÇÃO DE ÁGUA - FORNECIMENTO E INSTALAÇÃO. AF_12/2014</t>
    </r>
  </si>
  <si>
    <t>6,32</t>
  </si>
  <si>
    <r>
      <rPr>
        <sz val="10"/>
        <rFont val="Arial"/>
        <family val="2"/>
      </rPr>
      <t>89579</t>
    </r>
  </si>
  <si>
    <r>
      <rPr>
        <sz val="10"/>
        <rFont val="Arial"/>
        <family val="2"/>
      </rPr>
      <t>LUVA DE REDUÇÃO, PVC, SOLDÁVEL, DN 50MM X 25MM, INSTALADO EM PRUMADA DE ÁGUA FORNECIMENTO E INSTALAÇÃO. AF_12/2014</t>
    </r>
  </si>
  <si>
    <t>7,85</t>
  </si>
  <si>
    <r>
      <rPr>
        <sz val="10"/>
        <rFont val="Arial"/>
        <family val="2"/>
      </rPr>
      <t>LUVA DE REDUÇÃO, PVC, SOLDÁVEL, DN 50MM X 40MM, INSTALADO EM PRUMADA DE ÁGUA FORNECIMENTO E INSTALAÇÃO. AF_12/2014</t>
    </r>
  </si>
  <si>
    <r>
      <rPr>
        <sz val="10"/>
        <rFont val="Arial"/>
        <family val="2"/>
      </rPr>
      <t>89605</t>
    </r>
  </si>
  <si>
    <r>
      <rPr>
        <sz val="10"/>
        <rFont val="Arial"/>
        <family val="2"/>
      </rPr>
      <t>LUVA DE REDUÇÃO, PVC, SOLDÁVEL, DN 60MM X 40MM, INSTALADO EM PRUMADA DE ÁGUA - FORNECIMENTO E INSTALAÇÃO. AF_12/2014</t>
    </r>
  </si>
  <si>
    <t>13,63</t>
  </si>
  <si>
    <r>
      <rPr>
        <sz val="10"/>
        <rFont val="Arial"/>
        <family val="2"/>
      </rPr>
      <t>LUVA DE REDUÇÃO, PVC, SOLDÁVEL, DN 60MM X 50MM, INSTALADO EM PRUMADA DE ÁGUA - FORNECIMENTO E INSTALAÇÃO. AF_12/2014</t>
    </r>
  </si>
  <si>
    <r>
      <rPr>
        <sz val="10"/>
        <rFont val="Arial"/>
        <family val="2"/>
      </rPr>
      <t>89395</t>
    </r>
  </si>
  <si>
    <r>
      <rPr>
        <sz val="10"/>
        <rFont val="Arial"/>
        <family val="2"/>
      </rPr>
      <t>Tê 90 soldável - 25mm, fornecimento e instalação</t>
    </r>
  </si>
  <si>
    <t>8,74</t>
  </si>
  <si>
    <r>
      <rPr>
        <sz val="10"/>
        <rFont val="Arial"/>
        <family val="2"/>
      </rPr>
      <t>89443</t>
    </r>
  </si>
  <si>
    <r>
      <rPr>
        <sz val="10"/>
        <rFont val="Arial"/>
        <family val="2"/>
      </rPr>
      <t>Tê 90 soldável - 32mm, fornecimento e instalação</t>
    </r>
  </si>
  <si>
    <t>8,65</t>
  </si>
  <si>
    <r>
      <rPr>
        <sz val="10"/>
        <rFont val="Arial"/>
        <family val="2"/>
      </rPr>
      <t>89623</t>
    </r>
  </si>
  <si>
    <r>
      <rPr>
        <sz val="10"/>
        <rFont val="Arial"/>
        <family val="2"/>
      </rPr>
      <t>TE, PVC, SOLDÁVEL, DN 40MM, INSTALADO EM PRUMADA DE ÁGUA - FORNECIMENTO E INSTALAÇÃO. AF_12/2014</t>
    </r>
  </si>
  <si>
    <t>11,90</t>
  </si>
  <si>
    <r>
      <rPr>
        <sz val="10"/>
        <rFont val="Arial"/>
        <family val="2"/>
      </rPr>
      <t>89625</t>
    </r>
  </si>
  <si>
    <r>
      <rPr>
        <sz val="10"/>
        <rFont val="Arial"/>
        <family val="2"/>
      </rPr>
      <t>Tê 90 soldável - 50mm, fornecimento e instalação</t>
    </r>
  </si>
  <si>
    <t>14,57</t>
  </si>
  <si>
    <r>
      <rPr>
        <sz val="10"/>
        <rFont val="Arial"/>
        <family val="2"/>
      </rPr>
      <t>89628</t>
    </r>
  </si>
  <si>
    <r>
      <rPr>
        <sz val="10"/>
        <rFont val="Arial"/>
        <family val="2"/>
      </rPr>
      <t>Tê 90 soldável - 60mm, fornecimento e instalação</t>
    </r>
  </si>
  <si>
    <t>29,02</t>
  </si>
  <si>
    <r>
      <rPr>
        <sz val="10"/>
        <rFont val="Arial"/>
        <family val="2"/>
      </rPr>
      <t>TUBULAÇÕES E CONEXÕES - METAIS</t>
    </r>
  </si>
  <si>
    <r>
      <rPr>
        <sz val="10"/>
        <rFont val="Arial"/>
        <family val="2"/>
      </rPr>
      <t>VALVULA DE RETENCAO HORIZONTAL, DE BRONZE (PN-25), 1", 400 PSI, TAMPA DE PORCA DE UNIAO, EXTREMIDADES COM ROSCA</t>
    </r>
  </si>
  <si>
    <r>
      <rPr>
        <sz val="10"/>
        <rFont val="Arial"/>
        <family val="2"/>
      </rPr>
      <t>VALVULA DE RETENCAO HORIZONTAL, DE BRONZE (PN-25), 2", 400 PSI, TAMPA DE PORCA DE UNIAO, EXTREMIDADES COM ROSCA</t>
    </r>
  </si>
  <si>
    <r>
      <rPr>
        <sz val="10"/>
        <rFont val="Arial"/>
        <family val="2"/>
      </rPr>
      <t>94494</t>
    </r>
  </si>
  <si>
    <r>
      <rPr>
        <sz val="10"/>
        <rFont val="Arial"/>
        <family val="2"/>
      </rPr>
      <t>Registro bruto de gaveta 3/4", fornecimento e instalação</t>
    </r>
  </si>
  <si>
    <t>48,19</t>
  </si>
  <si>
    <r>
      <rPr>
        <sz val="10"/>
        <rFont val="Arial"/>
        <family val="2"/>
      </rPr>
      <t>89987</t>
    </r>
  </si>
  <si>
    <r>
      <rPr>
        <sz val="10"/>
        <rFont val="Arial"/>
        <family val="2"/>
      </rPr>
      <t>REGISTRO DE GAVETA BRUTO, LATÃO, ROSCÁVEL, 3/4", COM ACABAMENTO E CANOPLA CROMADOS. FORNECIDO E INSTALADO EM RAMAL DE ÁGUA. AF_12/2014</t>
    </r>
  </si>
  <si>
    <t>64,88</t>
  </si>
  <si>
    <r>
      <rPr>
        <sz val="10"/>
        <rFont val="Arial"/>
        <family val="2"/>
      </rPr>
      <t>94495</t>
    </r>
  </si>
  <si>
    <r>
      <rPr>
        <sz val="10"/>
        <rFont val="Arial"/>
        <family val="2"/>
      </rPr>
      <t>REGISTRO DE GAVETA BRUTO, LATÃO, ROSCÁVEL, 1?, INSTALADO EM RESERVAÇÃO DE ÁGUA DE EDIFICAÇÃO QUE POSSUA RESERVATÓRIO DE FIBRA/FIBROCIMENTO ? FORNECIMENTO E INSTALAÇÃO. AF_06/2016</t>
    </r>
  </si>
  <si>
    <t>61,48</t>
  </si>
  <si>
    <r>
      <rPr>
        <sz val="10"/>
        <rFont val="Arial"/>
        <family val="2"/>
      </rPr>
      <t>94794</t>
    </r>
  </si>
  <si>
    <r>
      <rPr>
        <sz val="10"/>
        <rFont val="Arial"/>
        <family val="2"/>
      </rPr>
      <t>REGISTRO DE GAVETA BRUTO, LATÃO, ROSCÁVEL, 1 1/2?, COM ACABAMENTO E CANOPLA CROMADOS, INSTALADO EM RESERVAÇÃO DE ÁGUA DE EDIFICAÇÃO QUE POSSUA RESERVATÓRIO DE FIBRA/FIBROCIMENTO ? FORNECIMENTO E INSTALAÇÃO. AF_06/2016</t>
    </r>
  </si>
  <si>
    <t>125,54</t>
  </si>
  <si>
    <r>
      <rPr>
        <sz val="10"/>
        <rFont val="Arial"/>
        <family val="2"/>
      </rPr>
      <t>94498</t>
    </r>
  </si>
  <si>
    <r>
      <rPr>
        <sz val="10"/>
        <rFont val="Arial"/>
        <family val="2"/>
      </rPr>
      <t>Registro bruto de gaveta 2", fornecimento e instalação</t>
    </r>
  </si>
  <si>
    <t>113,84</t>
  </si>
  <si>
    <r>
      <rPr>
        <b/>
        <sz val="10"/>
        <rFont val="Arial"/>
        <family val="2"/>
      </rPr>
      <t>ACESSÓRIOS</t>
    </r>
  </si>
  <si>
    <r>
      <rPr>
        <b/>
        <sz val="10"/>
        <rFont val="Arial"/>
        <family val="2"/>
      </rPr>
      <t>DRENAGEM DE ÁGUAS PLUVIAIS</t>
    </r>
  </si>
  <si>
    <r>
      <rPr>
        <sz val="10"/>
        <rFont val="Arial"/>
        <family val="2"/>
      </rPr>
      <t>89710</t>
    </r>
  </si>
  <si>
    <r>
      <rPr>
        <sz val="10"/>
        <rFont val="Arial"/>
        <family val="2"/>
      </rPr>
      <t>RALO SECO, PVC, DN 100 X 40 MM, JUNTA SOLDÁVEL, FORNECIDO E INSTALADO EM RAMAL DE DESCARGA OU EM RAMAL DE ESGOTO SANITÁRIO. AF_12/2014</t>
    </r>
  </si>
  <si>
    <t>8,84</t>
  </si>
  <si>
    <r>
      <rPr>
        <sz val="10"/>
        <rFont val="Arial"/>
        <family val="2"/>
      </rPr>
      <t>und</t>
    </r>
  </si>
  <si>
    <r>
      <rPr>
        <sz val="10"/>
        <rFont val="Arial"/>
        <family val="2"/>
      </rPr>
      <t>89849</t>
    </r>
  </si>
  <si>
    <r>
      <rPr>
        <sz val="10"/>
        <rFont val="Arial"/>
        <family val="2"/>
      </rPr>
      <t>Tubo de PVC rígido 150mm, fornec. e instalação</t>
    </r>
  </si>
  <si>
    <t>40,21</t>
  </si>
  <si>
    <r>
      <rPr>
        <sz val="10"/>
        <rFont val="Arial"/>
        <family val="2"/>
      </rPr>
      <t>00011707</t>
    </r>
  </si>
  <si>
    <r>
      <rPr>
        <sz val="10"/>
        <rFont val="Arial"/>
        <family val="2"/>
      </rPr>
      <t>RALO FOFO SEMIESFERICO, 75 MM, PARA LAJES/ CALHAS</t>
    </r>
  </si>
  <si>
    <r>
      <rPr>
        <sz val="10"/>
        <rFont val="Arial"/>
        <family val="2"/>
      </rPr>
      <t>00011708</t>
    </r>
  </si>
  <si>
    <r>
      <rPr>
        <sz val="10"/>
        <rFont val="Arial"/>
        <family val="2"/>
      </rPr>
      <t>RALO FOFO SEMIESFERICO, 100 MM, PARA LAJES/ CALHAS</t>
    </r>
  </si>
  <si>
    <r>
      <rPr>
        <b/>
        <sz val="10"/>
        <rFont val="Arial"/>
        <family val="2"/>
      </rPr>
      <t>INSTALAÇÃO SANITÁRIA</t>
    </r>
  </si>
  <si>
    <r>
      <rPr>
        <sz val="10"/>
        <rFont val="Arial"/>
        <family val="2"/>
      </rPr>
      <t>89711</t>
    </r>
  </si>
  <si>
    <r>
      <rPr>
        <sz val="10"/>
        <rFont val="Arial"/>
        <family val="2"/>
      </rPr>
      <t>Tubo de PVC rígido 40mm, fornec. e instalação</t>
    </r>
  </si>
  <si>
    <t>13,94</t>
  </si>
  <si>
    <r>
      <rPr>
        <sz val="10"/>
        <rFont val="Arial"/>
        <family val="2"/>
      </rPr>
      <t>89712</t>
    </r>
  </si>
  <si>
    <r>
      <rPr>
        <sz val="10"/>
        <rFont val="Arial"/>
        <family val="2"/>
      </rPr>
      <t>Tubo de PVC rígido 50mm, fornec. e instalação</t>
    </r>
  </si>
  <si>
    <t>20,97</t>
  </si>
  <si>
    <r>
      <rPr>
        <sz val="10"/>
        <rFont val="Arial"/>
        <family val="2"/>
      </rPr>
      <t>89511</t>
    </r>
  </si>
  <si>
    <r>
      <rPr>
        <sz val="10"/>
        <rFont val="Arial"/>
        <family val="2"/>
      </rPr>
      <t>Tubo de PVC rígido 75mm, fornec. e instalação</t>
    </r>
  </si>
  <si>
    <t>27,17</t>
  </si>
  <si>
    <r>
      <rPr>
        <sz val="10"/>
        <rFont val="Arial"/>
        <family val="2"/>
      </rPr>
      <t>89714</t>
    </r>
  </si>
  <si>
    <r>
      <rPr>
        <sz val="10"/>
        <rFont val="Arial"/>
        <family val="2"/>
      </rPr>
      <t>Tubo de PVC rígido 100mm, fornec. e instalação</t>
    </r>
  </si>
  <si>
    <t>40,27</t>
  </si>
  <si>
    <r>
      <rPr>
        <sz val="10"/>
        <rFont val="Arial"/>
        <family val="2"/>
      </rPr>
      <t>90375</t>
    </r>
  </si>
  <si>
    <r>
      <rPr>
        <sz val="10"/>
        <rFont val="Arial"/>
        <family val="2"/>
      </rPr>
      <t>Bucha de redução PVC longa 50mm-40mm</t>
    </r>
  </si>
  <si>
    <t>6,41</t>
  </si>
  <si>
    <r>
      <rPr>
        <sz val="10"/>
        <rFont val="Arial"/>
        <family val="2"/>
      </rPr>
      <t>89726</t>
    </r>
  </si>
  <si>
    <r>
      <rPr>
        <sz val="10"/>
        <rFont val="Arial"/>
        <family val="2"/>
      </rPr>
      <t>Joelho PVC 45º 40mm - fornecimento e instalação</t>
    </r>
  </si>
  <si>
    <t>6,40</t>
  </si>
  <si>
    <r>
      <rPr>
        <sz val="10"/>
        <rFont val="Arial"/>
        <family val="2"/>
      </rPr>
      <t>89732</t>
    </r>
  </si>
  <si>
    <r>
      <rPr>
        <sz val="10"/>
        <rFont val="Arial"/>
        <family val="2"/>
      </rPr>
      <t>Joelho PVC 45º 50mm - fornecimento e instalação</t>
    </r>
  </si>
  <si>
    <t>7,95</t>
  </si>
  <si>
    <r>
      <rPr>
        <sz val="10"/>
        <rFont val="Arial"/>
        <family val="2"/>
      </rPr>
      <t>89739</t>
    </r>
  </si>
  <si>
    <r>
      <rPr>
        <sz val="10"/>
        <rFont val="Arial"/>
        <family val="2"/>
      </rPr>
      <t>Joelho PVC 45º 75mm - fornecimento e instalação</t>
    </r>
  </si>
  <si>
    <t>13,42</t>
  </si>
  <si>
    <r>
      <rPr>
        <sz val="10"/>
        <rFont val="Arial"/>
        <family val="2"/>
      </rPr>
      <t>89746</t>
    </r>
  </si>
  <si>
    <r>
      <rPr>
        <sz val="10"/>
        <rFont val="Arial"/>
        <family val="2"/>
      </rPr>
      <t>Joelho PVC 45º 100mm - fornecimento e instalação</t>
    </r>
  </si>
  <si>
    <t>16,79</t>
  </si>
  <si>
    <r>
      <rPr>
        <sz val="10"/>
        <rFont val="Arial"/>
        <family val="2"/>
      </rPr>
      <t>89724</t>
    </r>
  </si>
  <si>
    <r>
      <rPr>
        <sz val="10"/>
        <rFont val="Arial"/>
        <family val="2"/>
      </rPr>
      <t>Joelho PVC 90º 40mm - fornecimento e instalação</t>
    </r>
  </si>
  <si>
    <t>5,69</t>
  </si>
  <si>
    <r>
      <rPr>
        <sz val="10"/>
        <rFont val="Arial"/>
        <family val="2"/>
      </rPr>
      <t>89731</t>
    </r>
  </si>
  <si>
    <r>
      <rPr>
        <sz val="10"/>
        <rFont val="Arial"/>
        <family val="2"/>
      </rPr>
      <t>Joelho PVC 90º 50mm - fornecimento e instalação</t>
    </r>
  </si>
  <si>
    <t>7,44</t>
  </si>
  <si>
    <r>
      <rPr>
        <sz val="10"/>
        <rFont val="Arial"/>
        <family val="2"/>
      </rPr>
      <t>89522</t>
    </r>
  </si>
  <si>
    <r>
      <rPr>
        <sz val="10"/>
        <rFont val="Arial"/>
        <family val="2"/>
      </rPr>
      <t>Joelho PVC 90º 75mm - fornecimento e instalação</t>
    </r>
  </si>
  <si>
    <t>20,15</t>
  </si>
  <si>
    <r>
      <rPr>
        <sz val="10"/>
        <rFont val="Arial"/>
        <family val="2"/>
      </rPr>
      <t>89517</t>
    </r>
  </si>
  <si>
    <r>
      <rPr>
        <sz val="10"/>
        <rFont val="Arial"/>
        <family val="2"/>
      </rPr>
      <t>Curva PVC 90º curta - 100mm - fornecimento e instalação</t>
    </r>
  </si>
  <si>
    <t>46,83</t>
  </si>
  <si>
    <r>
      <rPr>
        <sz val="10"/>
        <rFont val="Arial"/>
        <family val="2"/>
      </rPr>
      <t>89569</t>
    </r>
  </si>
  <si>
    <r>
      <rPr>
        <sz val="10"/>
        <rFont val="Arial"/>
        <family val="2"/>
      </rPr>
      <t>Junção PVC simples 100mm-50mm - fornecimento e instalação</t>
    </r>
  </si>
  <si>
    <t>53,99</t>
  </si>
  <si>
    <r>
      <rPr>
        <sz val="10"/>
        <rFont val="Arial"/>
        <family val="2"/>
      </rPr>
      <t>Junção PVC simples 100mm-75mm - fornecimento e instalação</t>
    </r>
  </si>
  <si>
    <r>
      <rPr>
        <sz val="10"/>
        <rFont val="Arial"/>
        <family val="2"/>
      </rPr>
      <t>89685</t>
    </r>
  </si>
  <si>
    <r>
      <rPr>
        <sz val="10"/>
        <rFont val="Arial"/>
        <family val="2"/>
      </rPr>
      <t>Junção PVC simples 75mm-75mm - fornecimento e instalação</t>
    </r>
  </si>
  <si>
    <t>35,32</t>
  </si>
  <si>
    <r>
      <rPr>
        <sz val="10"/>
        <rFont val="Arial"/>
        <family val="2"/>
      </rPr>
      <t>89690</t>
    </r>
  </si>
  <si>
    <r>
      <rPr>
        <sz val="10"/>
        <rFont val="Arial"/>
        <family val="2"/>
      </rPr>
      <t>Junção PVC simples 100mm-100mm - fornecimento e instalação</t>
    </r>
  </si>
  <si>
    <t>54,04</t>
  </si>
  <si>
    <r>
      <rPr>
        <sz val="10"/>
        <rFont val="Arial"/>
        <family val="2"/>
      </rPr>
      <t>89744</t>
    </r>
  </si>
  <si>
    <r>
      <rPr>
        <sz val="10"/>
        <rFont val="Arial"/>
        <family val="2"/>
      </rPr>
      <t>Joelho PVC 90º 100mm - fornecimento e instalação</t>
    </r>
  </si>
  <si>
    <t>16,73</t>
  </si>
  <si>
    <r>
      <rPr>
        <sz val="10"/>
        <rFont val="Arial"/>
        <family val="2"/>
      </rPr>
      <t>89848</t>
    </r>
  </si>
  <si>
    <r>
      <rPr>
        <sz val="10"/>
        <rFont val="Arial"/>
        <family val="2"/>
      </rPr>
      <t>TUBO PVC, SERIE NORMAL, ESGOTO PREDIAL, DN 75 MM, FORNECIDO E INSTALADO EM SUBCOLETOR AÉREO DE ESGOTO SANITÁRIO. AF_12/2014</t>
    </r>
  </si>
  <si>
    <t>21,61</t>
  </si>
  <si>
    <r>
      <rPr>
        <sz val="10"/>
        <rFont val="Arial"/>
        <family val="2"/>
      </rPr>
      <t>TUBO PVC, SERIE NORMAL, ESGOTO PREDIAL, DN 100 MM, FORNECIDO E INSTALADO EM SUBCOLETOR AÉREO DE ESGOTO SANITÁRIO. AF_12/2014</t>
    </r>
  </si>
  <si>
    <r>
      <rPr>
        <sz val="10"/>
        <rFont val="Arial"/>
        <family val="2"/>
      </rPr>
      <t>89704</t>
    </r>
  </si>
  <si>
    <r>
      <rPr>
        <sz val="10"/>
        <rFont val="Arial"/>
        <family val="2"/>
      </rPr>
      <t>Tê PVC sanitario 100mm-100mm - fornecimento e instalação</t>
    </r>
  </si>
  <si>
    <t>85,06</t>
  </si>
  <si>
    <r>
      <rPr>
        <sz val="10"/>
        <rFont val="Arial"/>
        <family val="2"/>
      </rPr>
      <t>89687</t>
    </r>
  </si>
  <si>
    <r>
      <rPr>
        <sz val="10"/>
        <rFont val="Arial"/>
        <family val="2"/>
      </rPr>
      <t>Tê PVC sanitario 75mm-75mm - fornecimento e instalação</t>
    </r>
  </si>
  <si>
    <t>29,13</t>
  </si>
  <si>
    <r>
      <rPr>
        <sz val="10"/>
        <rFont val="Arial"/>
        <family val="2"/>
      </rPr>
      <t>94896</t>
    </r>
  </si>
  <si>
    <r>
      <rPr>
        <sz val="10"/>
        <rFont val="Arial"/>
        <family val="2"/>
      </rPr>
      <t>ASSENTAMENTO DE TUBO DE PEAD CORRUGADO DE DUPLA PAREDE PARA REDE COLETORA DE ESGOTO, DN 1000 MM, JUNTA ELÁSTICA INTEGRADA, INSTALADO EM LOCAL COM NÍVEL ALTO DE INTERFERÊNCIAS (NÃO INCLUI FORNECIMENTO). AF_06/2016</t>
    </r>
  </si>
  <si>
    <t>28,59</t>
  </si>
  <si>
    <r>
      <rPr>
        <b/>
        <sz val="10"/>
        <rFont val="Arial"/>
        <family val="2"/>
      </rPr>
      <t>BANCADAS, LOUÇAS, METAIS E COMPLEMENTOS</t>
    </r>
  </si>
  <si>
    <r>
      <rPr>
        <sz val="10"/>
        <rFont val="Arial"/>
        <family val="2"/>
      </rPr>
      <t>BANCADAS</t>
    </r>
  </si>
  <si>
    <r>
      <rPr>
        <b/>
        <sz val="10"/>
        <rFont val="Arial"/>
        <family val="2"/>
      </rPr>
      <t>LOUÇAS</t>
    </r>
  </si>
  <si>
    <r>
      <rPr>
        <sz val="10"/>
        <rFont val="Arial"/>
        <family val="2"/>
      </rPr>
      <t>40729</t>
    </r>
  </si>
  <si>
    <r>
      <rPr>
        <sz val="10"/>
        <rFont val="Arial"/>
        <family val="2"/>
      </rPr>
      <t>Valvula de descarga 1 1/2", com registro, acabamento em metal cromado - fornecimento e instalação</t>
    </r>
  </si>
  <si>
    <t>203,35</t>
  </si>
  <si>
    <r>
      <rPr>
        <sz val="10"/>
        <rFont val="Arial"/>
        <family val="2"/>
      </rPr>
      <t>86936</t>
    </r>
  </si>
  <si>
    <r>
      <rPr>
        <sz val="10"/>
        <rFont val="Arial"/>
        <family val="2"/>
      </rPr>
      <t>CUBA DE EMBUTIR DE AÇO INOXIDÁVEL MÉDIA, INCLUSO VÁLVULA TIPO AMERICANA E SIFÃO TIPO GARRAFA EM METAL CROMADO - FORNECIMENTO E INSTALAÇÃO. AF_12/2013</t>
    </r>
  </si>
  <si>
    <t>325,23</t>
  </si>
  <si>
    <r>
      <rPr>
        <sz val="10"/>
        <rFont val="Arial"/>
        <family val="2"/>
      </rPr>
      <t>86901</t>
    </r>
  </si>
  <si>
    <r>
      <rPr>
        <sz val="10"/>
        <rFont val="Arial"/>
        <family val="2"/>
      </rPr>
      <t>Cuba de Embutir Oval cor Branco Gelo, código L.37, DECA, ou equivalente, em bancada ecomplementos (válvula, sifao e engate flexível cromados), exceto torneira.</t>
    </r>
  </si>
  <si>
    <t>99,30</t>
  </si>
  <si>
    <r>
      <rPr>
        <sz val="10"/>
        <rFont val="Arial"/>
        <family val="2"/>
      </rPr>
      <t>86904</t>
    </r>
  </si>
  <si>
    <r>
      <rPr>
        <sz val="10"/>
        <rFont val="Arial"/>
        <family val="2"/>
      </rPr>
      <t>Lavatório pequeno Ravena/Izy cor branco gelo, com coluna suspensa, código L915 DECA ou equivalente</t>
    </r>
  </si>
  <si>
    <t>94,18</t>
  </si>
  <si>
    <r>
      <rPr>
        <b/>
        <sz val="10"/>
        <rFont val="Arial"/>
        <family val="2"/>
      </rPr>
      <t>METAIS</t>
    </r>
  </si>
  <si>
    <r>
      <rPr>
        <sz val="10"/>
        <rFont val="Arial"/>
        <family val="2"/>
      </rPr>
      <t>9535</t>
    </r>
  </si>
  <si>
    <r>
      <rPr>
        <sz val="10"/>
        <rFont val="Arial"/>
        <family val="2"/>
      </rPr>
      <t>Chuveiro Maxi Ducha, LORENZETTI, com Mangueira plástica/desviador para duchas elétricas, cógigo 8010-A, LORENZETTI,  ou equivalente</t>
    </r>
  </si>
  <si>
    <t>57,06</t>
  </si>
  <si>
    <r>
      <rPr>
        <sz val="10"/>
        <rFont val="Arial"/>
        <family val="2"/>
      </rPr>
      <t>00036212</t>
    </r>
  </si>
  <si>
    <r>
      <rPr>
        <sz val="10"/>
        <rFont val="Arial"/>
        <family val="2"/>
      </rPr>
      <t>BARRA DE APOIO LAVATORIO DE CANTO, EM ACO INOX POLIDO, DIAMETRO MINIMO 3 CM.</t>
    </r>
  </si>
  <si>
    <r>
      <rPr>
        <sz val="10"/>
        <rFont val="Arial"/>
        <family val="2"/>
      </rPr>
      <t>00036081</t>
    </r>
  </si>
  <si>
    <r>
      <rPr>
        <sz val="10"/>
        <rFont val="Arial"/>
        <family val="2"/>
      </rPr>
      <t>BARRA DE APOIO RETA, EM ACO INOX POLIDO, COMPRIMENTO 80CM, DIAMETRO MINIMO 3 CM</t>
    </r>
  </si>
  <si>
    <r>
      <rPr>
        <sz val="10"/>
        <rFont val="Arial"/>
        <family val="2"/>
      </rPr>
      <t>86909</t>
    </r>
  </si>
  <si>
    <t>64,28</t>
  </si>
  <si>
    <r>
      <rPr>
        <sz val="10"/>
        <rFont val="Arial"/>
        <family val="2"/>
      </rPr>
      <t>86906</t>
    </r>
  </si>
  <si>
    <r>
      <rPr>
        <sz val="10"/>
        <rFont val="Arial"/>
        <family val="2"/>
      </rPr>
      <t>Torneira para lavatório de mesa bica baixa Izy, código 1193.C37, Deca ou equivalente</t>
    </r>
  </si>
  <si>
    <t>32,27</t>
  </si>
  <si>
    <r>
      <rPr>
        <sz val="10"/>
        <rFont val="Arial"/>
        <family val="2"/>
      </rPr>
      <t>95547</t>
    </r>
  </si>
  <si>
    <r>
      <rPr>
        <sz val="10"/>
        <rFont val="Arial"/>
        <family val="2"/>
      </rPr>
      <t>SABONETEIRA PLASTICA TIPO DISPENSER PARA SABONETE LIQUIDO COM RESERVATORIO 800 A 1500 ML, INCLUSO FIXAÇÃO. AF_10/2016</t>
    </r>
  </si>
  <si>
    <r>
      <rPr>
        <b/>
        <sz val="10"/>
        <rFont val="Arial"/>
        <family val="2"/>
      </rPr>
      <t>SISTEMA DE PROTEÇÃO CONTRA INCÊNDIO</t>
    </r>
  </si>
  <si>
    <r>
      <rPr>
        <sz val="10"/>
        <rFont val="Arial"/>
        <family val="2"/>
      </rPr>
      <t>72283</t>
    </r>
  </si>
  <si>
    <r>
      <rPr>
        <sz val="10"/>
        <rFont val="Arial"/>
        <family val="2"/>
      </rPr>
      <t>ABRIGO PARA HIDRANTE, 75X45X17CM, COM REGISTRO GLOBO ANGULAR 45º 2.1/2", ADAPTADOR STORZ 2.1/2", MANGUEIRA DE INCÊNDIO 15M, REDUÇÃO 2.1/2X1.1/2" E ESGUICHO EM LATÃO 1.1/2" - FORNECIMENTO E INSTALAÇÃO</t>
    </r>
  </si>
  <si>
    <t>955,97</t>
  </si>
  <si>
    <r>
      <rPr>
        <sz val="10"/>
        <rFont val="Arial"/>
        <family val="2"/>
      </rPr>
      <t>72554</t>
    </r>
  </si>
  <si>
    <r>
      <rPr>
        <sz val="10"/>
        <rFont val="Arial"/>
        <family val="2"/>
      </rPr>
      <t>Extintor CO2 - 6KG</t>
    </r>
  </si>
  <si>
    <t>468,76</t>
  </si>
  <si>
    <r>
      <rPr>
        <sz val="10"/>
        <rFont val="Arial"/>
        <family val="2"/>
      </rPr>
      <t>72553</t>
    </r>
  </si>
  <si>
    <r>
      <rPr>
        <sz val="10"/>
        <rFont val="Arial"/>
        <family val="2"/>
      </rPr>
      <t>Extintor ABC - 6KG</t>
    </r>
  </si>
  <si>
    <t>139,22</t>
  </si>
  <si>
    <r>
      <rPr>
        <sz val="10"/>
        <rFont val="Arial"/>
        <family val="2"/>
      </rPr>
      <t>92336</t>
    </r>
  </si>
  <si>
    <r>
      <rPr>
        <sz val="10"/>
        <rFont val="Arial"/>
        <family val="2"/>
      </rPr>
      <t>TUBO DE AÇO GALVANIZADO COM COSTURA, CLASSE MÉDIA, CONEXÃO RANHURADA, DN 65 (2 1/2"), INSTALADO EM PRUMADAS - FORNECIMENTO E INSTALAÇÃO. AF_12/2015</t>
    </r>
  </si>
  <si>
    <t>57,41</t>
  </si>
  <si>
    <t>73795/6</t>
  </si>
  <si>
    <r>
      <rPr>
        <sz val="10"/>
        <rFont val="Arial"/>
        <family val="2"/>
      </rPr>
      <t>Válvula de retenção vertical 2 1/2"</t>
    </r>
  </si>
  <si>
    <t>205,25</t>
  </si>
  <si>
    <r>
      <rPr>
        <sz val="10"/>
        <rFont val="Arial"/>
        <family val="2"/>
      </rPr>
      <t>92685</t>
    </r>
  </si>
  <si>
    <r>
      <rPr>
        <sz val="10"/>
        <rFont val="Arial"/>
        <family val="2"/>
      </rPr>
      <t>Tê aço galvanizado 2 1/2"</t>
    </r>
  </si>
  <si>
    <t>102,75</t>
  </si>
  <si>
    <r>
      <rPr>
        <sz val="10"/>
        <rFont val="Arial"/>
        <family val="2"/>
      </rPr>
      <t>92678</t>
    </r>
  </si>
  <si>
    <r>
      <rPr>
        <sz val="10"/>
        <rFont val="Arial"/>
        <family val="2"/>
      </rPr>
      <t>JOELHO 90 GRAUS, EM FERRO GALVANIZADO, CONEXÃO ROSQUEADA, DN 65 (2 1/2"), INSTALADO EM REDE DE ALIMENTAÇÃO PARA SPRINKLER - FORNECIMENTO E INSTALAÇÃO. AF_12/2015</t>
    </r>
  </si>
  <si>
    <t>74,77</t>
  </si>
  <si>
    <r>
      <rPr>
        <sz val="10"/>
        <rFont val="Arial"/>
        <family val="2"/>
      </rPr>
      <t>94499</t>
    </r>
  </si>
  <si>
    <r>
      <rPr>
        <sz val="10"/>
        <rFont val="Arial"/>
        <family val="2"/>
      </rPr>
      <t>REGISTRO DE GAVETA BRUTO, LATÃO, ROSCÁVEL, 2 1/2?, INSTALADO EM RESERVAÇÃO DE ÁGUA DE EDIFICAÇÃO QUE POSSUA RESERVATÓRIO DE FIBRA/FIBROCIMENTO ? FORNECIMENTO E INSTALAÇÃO. AF_06/2016</t>
    </r>
  </si>
  <si>
    <t>207,13</t>
  </si>
  <si>
    <r>
      <rPr>
        <b/>
        <sz val="10"/>
        <rFont val="Arial"/>
        <family val="2"/>
      </rPr>
      <t>INSTALAÇÕES ELÉTRICAS - 220V</t>
    </r>
  </si>
  <si>
    <r>
      <rPr>
        <b/>
        <sz val="10"/>
        <rFont val="Arial"/>
        <family val="2"/>
      </rPr>
      <t>CENTRO DE DISTRIBUIÇÃO</t>
    </r>
  </si>
  <si>
    <t>74131/5</t>
  </si>
  <si>
    <r>
      <rPr>
        <sz val="10"/>
        <rFont val="Arial"/>
        <family val="2"/>
      </rPr>
      <t>QUADRO DE DISTRIBUICAO DE ENERGIA DE EMBUTIR, EM CHAPA METALICA, PARA 24 DISJUNTORES TERMOMAGNETICOS MONOPOLARES, COM BARRAMENTO TRIFASICO E NEUTRO, FORNECIMENTO E INSTALACAO</t>
    </r>
  </si>
  <si>
    <t>329,43</t>
  </si>
  <si>
    <t>74131/7</t>
  </si>
  <si>
    <r>
      <rPr>
        <sz val="10"/>
        <rFont val="Arial"/>
        <family val="2"/>
      </rPr>
      <t>QUADRO DE DISTRIBUICAO DE ENERGIA DE EMBUTIR, EM CHAPA METALICA, PARA 40 DISJUNTORES TERMOMAGNETICOS MONOPOLARES, COM BARRAMENTO TRIFASICO E NEUTRO, FORNECIMENTO E INSTALACAO</t>
    </r>
  </si>
  <si>
    <t>518,88</t>
  </si>
  <si>
    <r>
      <rPr>
        <b/>
        <sz val="10"/>
        <rFont val="Arial"/>
        <family val="2"/>
      </rPr>
      <t>DISJUNTORES</t>
    </r>
  </si>
  <si>
    <r>
      <rPr>
        <sz val="10"/>
        <rFont val="Arial"/>
        <family val="2"/>
      </rPr>
      <t>93654</t>
    </r>
  </si>
  <si>
    <r>
      <rPr>
        <sz val="10"/>
        <rFont val="Arial"/>
        <family val="2"/>
      </rPr>
      <t>DISJUNTOR MONOPOLAR TIPO DIN, CORRENTE NOMINAL DE 16A - FORNECIMENTO E INSTALAÇÃO. AF_04/2016</t>
    </r>
  </si>
  <si>
    <t>9,86</t>
  </si>
  <si>
    <r>
      <rPr>
        <sz val="10"/>
        <rFont val="Arial"/>
        <family val="2"/>
      </rPr>
      <t>93655</t>
    </r>
  </si>
  <si>
    <r>
      <rPr>
        <sz val="10"/>
        <rFont val="Arial"/>
        <family val="2"/>
      </rPr>
      <t>DISJUNTOR MONOPOLAR TIPO DIN, CORRENTE NOMINAL DE 20A - FORNECIMENTO E INSTALAÇÃO. AF_04/2016</t>
    </r>
  </si>
  <si>
    <t>10,69</t>
  </si>
  <si>
    <r>
      <rPr>
        <sz val="10"/>
        <rFont val="Arial"/>
        <family val="2"/>
      </rPr>
      <t>93661</t>
    </r>
  </si>
  <si>
    <r>
      <rPr>
        <sz val="10"/>
        <rFont val="Arial"/>
        <family val="2"/>
      </rPr>
      <t>DISJUNTOR BIPOLAR TIPO DIN, CORRENTE NOMINAL DE 16A - FORNECIMENTO E INSTALAÇÃO. AF_04/2016</t>
    </r>
  </si>
  <si>
    <t>48,06</t>
  </si>
  <si>
    <r>
      <rPr>
        <sz val="10"/>
        <rFont val="Arial"/>
        <family val="2"/>
      </rPr>
      <t>93663</t>
    </r>
  </si>
  <si>
    <r>
      <rPr>
        <sz val="10"/>
        <rFont val="Arial"/>
        <family val="2"/>
      </rPr>
      <t>DISJUNTOR BIPOLAR TIPO DIN, CORRENTE NOMINAL DE 25A - FORNECIMENTO E INSTALAÇÃO. AF_04/2016</t>
    </r>
  </si>
  <si>
    <t>49,80</t>
  </si>
  <si>
    <r>
      <rPr>
        <sz val="10"/>
        <rFont val="Arial"/>
        <family val="2"/>
      </rPr>
      <t>93664</t>
    </r>
  </si>
  <si>
    <r>
      <rPr>
        <sz val="10"/>
        <rFont val="Arial"/>
        <family val="2"/>
      </rPr>
      <t>DISJUNTOR BIPOLAR TIPO DIN, CORRENTE NOMINAL DE 32A - FORNECIMENTO E INSTALAÇÃO. AF_04/2016</t>
    </r>
  </si>
  <si>
    <t>51,90</t>
  </si>
  <si>
    <r>
      <rPr>
        <sz val="10"/>
        <rFont val="Arial"/>
        <family val="2"/>
      </rPr>
      <t>93668</t>
    </r>
  </si>
  <si>
    <r>
      <rPr>
        <sz val="10"/>
        <rFont val="Arial"/>
        <family val="2"/>
      </rPr>
      <t>DISJUNTOR TRIPOLAR TIPO DIN, CORRENTE NOMINAL DE 16A - FORNECIMENTO E INSTALAÇÃO. AF_04/2016</t>
    </r>
  </si>
  <si>
    <t>60,15</t>
  </si>
  <si>
    <r>
      <rPr>
        <sz val="10"/>
        <rFont val="Arial"/>
        <family val="2"/>
      </rPr>
      <t>93670</t>
    </r>
  </si>
  <si>
    <r>
      <rPr>
        <sz val="10"/>
        <rFont val="Arial"/>
        <family val="2"/>
      </rPr>
      <t>DISJUNTOR TRIPOLAR TIPO DIN, CORRENTE NOMINAL DE 25A - FORNECIMENTO E INSTALAÇÃO. AF_04/2016</t>
    </r>
  </si>
  <si>
    <t>62,72</t>
  </si>
  <si>
    <r>
      <rPr>
        <sz val="10"/>
        <rFont val="Arial"/>
        <family val="2"/>
      </rPr>
      <t>93671</t>
    </r>
  </si>
  <si>
    <r>
      <rPr>
        <sz val="10"/>
        <rFont val="Arial"/>
        <family val="2"/>
      </rPr>
      <t>DISJUNTOR TRIPOLAR TIPO DIN, CORRENTE NOMINAL DE 32A - FORNECIMENTO E INSTALAÇÃO. AF_04/2016</t>
    </r>
  </si>
  <si>
    <t>65,88</t>
  </si>
  <si>
    <t>74130/5</t>
  </si>
  <si>
    <r>
      <rPr>
        <sz val="10"/>
        <rFont val="Arial"/>
        <family val="2"/>
      </rPr>
      <t>DISJUNTOR TERMOMAGNETICO TRIPOLAR PADRAO NEMA (AMERICANO) 60 A 100A 240V, FORNECIMENTO E INSTALACAO</t>
    </r>
  </si>
  <si>
    <t>108,39</t>
  </si>
  <si>
    <t>74130/10</t>
  </si>
  <si>
    <r>
      <rPr>
        <sz val="10"/>
        <rFont val="Arial"/>
        <family val="2"/>
      </rPr>
      <t>DISJUNTOR TERMOMAGNETICO TRIPOLAR EM CAIXA MOLDADA 175 A 225A 240V, FORNECIMENTO E INSTALACAO</t>
    </r>
  </si>
  <si>
    <t>478,70</t>
  </si>
  <si>
    <r>
      <rPr>
        <b/>
        <sz val="10"/>
        <rFont val="Arial"/>
        <family val="2"/>
      </rPr>
      <t>ELETRODUTOS E ACESSÓRIOS</t>
    </r>
  </si>
  <si>
    <r>
      <rPr>
        <sz val="10"/>
        <rFont val="Arial"/>
        <family val="2"/>
      </rPr>
      <t>91863</t>
    </r>
  </si>
  <si>
    <r>
      <rPr>
        <sz val="10"/>
        <rFont val="Arial"/>
        <family val="2"/>
      </rPr>
      <t>ELETRODUTO RÍGIDO ROSCÁVEL, PVC, DN 25 MM (3/4"), PARA CIRCUITOS TERMINAIS, INSTALADO EM FORRO - FORNECIMENTO E INSTALAÇÃO. AF_12/2015</t>
    </r>
  </si>
  <si>
    <t>7,64</t>
  </si>
  <si>
    <r>
      <rPr>
        <sz val="10"/>
        <rFont val="Arial"/>
        <family val="2"/>
      </rPr>
      <t>91864</t>
    </r>
  </si>
  <si>
    <r>
      <rPr>
        <sz val="10"/>
        <rFont val="Arial"/>
        <family val="2"/>
      </rPr>
      <t>ELETRODUTO RÍGIDO ROSCÁVEL, PVC, DN 32 MM (1"), PARA CIRCUITOS TERMINAIS, INSTALADO EM FORRO - FORNECIMENTO E INSTALAÇÃO. AF_12/2015</t>
    </r>
  </si>
  <si>
    <t>10,00</t>
  </si>
  <si>
    <r>
      <rPr>
        <sz val="10"/>
        <rFont val="Arial"/>
        <family val="2"/>
      </rPr>
      <t>91865</t>
    </r>
  </si>
  <si>
    <r>
      <rPr>
        <sz val="10"/>
        <rFont val="Arial"/>
        <family val="2"/>
      </rPr>
      <t>ELETRODUTO RÍGIDO ROSCÁVEL, PVC, DN 40 MM (1 1/4"), PARA CIRCUITOS TERMINAIS, INSTALADO EM FORRO - FORNECIMENTO E INSTALAÇÃO. AF_12/2015</t>
    </r>
  </si>
  <si>
    <t>12,39</t>
  </si>
  <si>
    <r>
      <rPr>
        <sz val="10"/>
        <rFont val="Arial"/>
        <family val="2"/>
      </rPr>
      <t>93012</t>
    </r>
  </si>
  <si>
    <r>
      <rPr>
        <sz val="10"/>
        <rFont val="Arial"/>
        <family val="2"/>
      </rPr>
      <t>ELETRODUTO RÍGIDO ROSCÁVEL, PVC, DN 110 MM (4") - FORNECIMENTO E INSTALAÇÃO. AF_12/2015</t>
    </r>
  </si>
  <si>
    <t>37,97</t>
  </si>
  <si>
    <r>
      <rPr>
        <sz val="10"/>
        <rFont val="Arial"/>
        <family val="2"/>
      </rPr>
      <t>83447</t>
    </r>
  </si>
  <si>
    <r>
      <rPr>
        <sz val="10"/>
        <rFont val="Arial"/>
        <family val="2"/>
      </rPr>
      <t>CAIXA DE PASSAGEM 40X40X40 FUNDO BRITA COM TAMPA</t>
    </r>
  </si>
  <si>
    <t>148,76</t>
  </si>
  <si>
    <r>
      <rPr>
        <b/>
        <sz val="10"/>
        <rFont val="Arial"/>
        <family val="2"/>
      </rPr>
      <t>CABOS E FIOS (CONDUTORES)</t>
    </r>
  </si>
  <si>
    <r>
      <rPr>
        <sz val="10"/>
        <rFont val="Arial"/>
        <family val="2"/>
      </rPr>
      <t>91926</t>
    </r>
  </si>
  <si>
    <r>
      <rPr>
        <sz val="10"/>
        <rFont val="Arial"/>
        <family val="2"/>
      </rPr>
      <t>CABO DE COBRE FLEXÍVEL ISOLADO, 2,5 MM², ANTI-CHAMA 450/750 V, PARA CIRCUITOS TERMINAIS - FORNECIMENTO E INSTALAÇÃO. AF_12/2015</t>
    </r>
  </si>
  <si>
    <t>2,97</t>
  </si>
  <si>
    <r>
      <rPr>
        <sz val="10"/>
        <rFont val="Arial"/>
        <family val="2"/>
      </rPr>
      <t>91928</t>
    </r>
  </si>
  <si>
    <r>
      <rPr>
        <sz val="10"/>
        <rFont val="Arial"/>
        <family val="2"/>
      </rPr>
      <t>CABO DE COBRE FLEXÍVEL ISOLADO, 4 MM², ANTI-CHAMA 450/750 V, PARA CIRCUITOS TERMINAIS - FORNECIMENTO E INSTALAÇÃO. AF_12/2015</t>
    </r>
  </si>
  <si>
    <t>4,20</t>
  </si>
  <si>
    <r>
      <rPr>
        <sz val="10"/>
        <rFont val="Arial"/>
        <family val="2"/>
      </rPr>
      <t>91930</t>
    </r>
  </si>
  <si>
    <r>
      <rPr>
        <sz val="10"/>
        <rFont val="Arial"/>
        <family val="2"/>
      </rPr>
      <t>CABO DE COBRE FLEXÍVEL ISOLADO, 6 MM², ANTI-CHAMA 450/750 V, PARA CIRCUITOS TERMINAIS - FORNECIMENTO E INSTALAÇÃO. AF_12/2015</t>
    </r>
  </si>
  <si>
    <t>5,03</t>
  </si>
  <si>
    <r>
      <rPr>
        <b/>
        <sz val="10"/>
        <rFont val="Arial"/>
        <family val="2"/>
      </rPr>
      <t>ELETROCALHAS</t>
    </r>
  </si>
  <si>
    <r>
      <rPr>
        <sz val="10"/>
        <rFont val="Arial"/>
        <family val="2"/>
      </rPr>
      <t>00039028</t>
    </r>
  </si>
  <si>
    <r>
      <rPr>
        <sz val="10"/>
        <rFont val="Arial"/>
        <family val="2"/>
      </rPr>
      <t>PERFILADO PERFURADO SIMPLES 38 X 38 MM, CHAPA 22</t>
    </r>
  </si>
  <si>
    <r>
      <rPr>
        <sz val="10"/>
        <rFont val="Arial"/>
        <family val="2"/>
      </rPr>
      <t>m</t>
    </r>
  </si>
  <si>
    <t>Curva horizontal 90º para eletrocalha metálica, 300x100mm, galvanizada, ref. MEGA MG 2510 ou equivalente.</t>
  </si>
  <si>
    <r>
      <rPr>
        <sz val="10"/>
        <rFont val="Arial"/>
        <family val="2"/>
      </rPr>
      <t>00000770</t>
    </r>
  </si>
  <si>
    <r>
      <rPr>
        <sz val="10"/>
        <rFont val="Arial"/>
        <family val="2"/>
      </rPr>
      <t>BUCHA DE FERRO GALVANIZADO 1/4''</t>
    </r>
  </si>
  <si>
    <r>
      <rPr>
        <b/>
        <sz val="10"/>
        <rFont val="Arial"/>
        <family val="2"/>
      </rPr>
      <t>TOMADAS E INTERRUPTORES</t>
    </r>
  </si>
  <si>
    <r>
      <rPr>
        <sz val="10"/>
        <rFont val="Arial"/>
        <family val="2"/>
      </rPr>
      <t>91953</t>
    </r>
  </si>
  <si>
    <r>
      <rPr>
        <sz val="10"/>
        <rFont val="Arial"/>
        <family val="2"/>
      </rPr>
      <t>INTERRUPTOR SIMPLES (1 MÓDULO), 10A/250V, INCLUINDO SUPORTE E PLACA - FORNECIMENTO E INSTALAÇÃO. AF_12/2015</t>
    </r>
  </si>
  <si>
    <t>19,23</t>
  </si>
  <si>
    <r>
      <rPr>
        <sz val="10"/>
        <rFont val="Arial"/>
        <family val="2"/>
      </rPr>
      <t>91955</t>
    </r>
  </si>
  <si>
    <r>
      <rPr>
        <sz val="10"/>
        <rFont val="Arial"/>
        <family val="2"/>
      </rPr>
      <t>INTERRUPTOR PARALELO (1 MÓDULO), 10A/250V, INCLUINDO SUPORTE E PLACA - FORNECIMENTO E INSTALAÇÃO. AF_12/2015</t>
    </r>
  </si>
  <si>
    <t>23,89</t>
  </si>
  <si>
    <r>
      <rPr>
        <b/>
        <sz val="10"/>
        <rFont val="Arial"/>
        <family val="2"/>
      </rPr>
      <t>ILUMINAÇÃO</t>
    </r>
  </si>
  <si>
    <t>73953/1</t>
  </si>
  <si>
    <r>
      <rPr>
        <sz val="10"/>
        <rFont val="Arial"/>
        <family val="2"/>
      </rPr>
      <t>LUMINARIA FLUORESCENTE 1X14W,</t>
    </r>
  </si>
  <si>
    <t>57,08</t>
  </si>
  <si>
    <t>73953/5</t>
  </si>
  <si>
    <r>
      <rPr>
        <sz val="10"/>
        <rFont val="Arial"/>
        <family val="2"/>
      </rPr>
      <t>LUMINÁRIA FLUORESCENTE COMPLETA (1 X 32)W</t>
    </r>
  </si>
  <si>
    <t>77,85</t>
  </si>
  <si>
    <t>73953/2</t>
  </si>
  <si>
    <r>
      <rPr>
        <sz val="10"/>
        <rFont val="Arial"/>
        <family val="2"/>
      </rPr>
      <t>LUMINÁRIA FLUORESCENTE COMPLETA ( 2 X 14 )W</t>
    </r>
  </si>
  <si>
    <t>74,92</t>
  </si>
  <si>
    <t>73953/6</t>
  </si>
  <si>
    <r>
      <rPr>
        <sz val="10"/>
        <rFont val="Arial"/>
        <family val="2"/>
      </rPr>
      <t>LUMINÁRIA FLUORESCENTE COMPLETA (2 X 32)W</t>
    </r>
  </si>
  <si>
    <t>98,91</t>
  </si>
  <si>
    <r>
      <rPr>
        <b/>
        <sz val="10"/>
        <rFont val="Arial"/>
        <family val="2"/>
      </rPr>
      <t>INSTALAÇÕES DE CLIMATIZAÇÃO</t>
    </r>
  </si>
  <si>
    <r>
      <rPr>
        <b/>
        <sz val="10"/>
        <rFont val="Arial"/>
        <family val="2"/>
      </rPr>
      <t>INSTALAÇÕES DE REDE ESTRUTURADA</t>
    </r>
  </si>
  <si>
    <r>
      <rPr>
        <sz val="10"/>
        <rFont val="Arial"/>
        <family val="2"/>
      </rPr>
      <t>91940</t>
    </r>
  </si>
  <si>
    <r>
      <rPr>
        <sz val="10"/>
        <rFont val="Arial"/>
        <family val="2"/>
      </rPr>
      <t>CAIXA RETANGULAR 4" X 2" MÉDIA (1,30 M DO PISO), PVC, INSTALADA EM PAREDE - FORNECIMENTO E INSTALAÇÃO. AF_12/2015</t>
    </r>
  </si>
  <si>
    <t>11,41</t>
  </si>
  <si>
    <r>
      <rPr>
        <sz val="10"/>
        <rFont val="Arial"/>
        <family val="2"/>
      </rPr>
      <t>93008</t>
    </r>
  </si>
  <si>
    <r>
      <rPr>
        <sz val="10"/>
        <rFont val="Arial"/>
        <family val="2"/>
      </rPr>
      <t>ELETRODUTO RÍGIDO ROSCÁVEL, PVC, DN 50 MM (1 1/2") - FORNECIMENTO E INSTALAÇÃO. AF_12/2015</t>
    </r>
  </si>
  <si>
    <t>10,60</t>
  </si>
  <si>
    <r>
      <rPr>
        <b/>
        <sz val="10"/>
        <rFont val="Arial"/>
        <family val="2"/>
      </rPr>
      <t>SISTEMA DE EXAUSTÃO MECÂNICA</t>
    </r>
  </si>
  <si>
    <r>
      <rPr>
        <b/>
        <sz val="10"/>
        <rFont val="Arial"/>
        <family val="2"/>
      </rPr>
      <t>SISTEMA DE PROTEÇÃO CONTRA DESCARGAS ATMOSFÉRICAS (SPDA)</t>
    </r>
  </si>
  <si>
    <r>
      <rPr>
        <sz val="10"/>
        <rFont val="Arial"/>
        <family val="2"/>
      </rPr>
      <t>72929</t>
    </r>
  </si>
  <si>
    <r>
      <rPr>
        <sz val="10"/>
        <rFont val="Arial"/>
        <family val="2"/>
      </rPr>
      <t>CORDOALHA DE COBRE NU, INCLUSIVE ISOLADORES - 35,00 MM2 - FORNECIMENTO E INSTALACAO</t>
    </r>
  </si>
  <si>
    <t>41,99</t>
  </si>
  <si>
    <r>
      <rPr>
        <sz val="10"/>
        <rFont val="Arial"/>
        <family val="2"/>
      </rPr>
      <t>72930</t>
    </r>
  </si>
  <si>
    <r>
      <rPr>
        <sz val="10"/>
        <rFont val="Arial"/>
        <family val="2"/>
      </rPr>
      <t>CORDOALHA DE COBRE NU, INCLUSIVE ISOLADORES - 50,00 MM2 - FORNECIMENTO E INSTALACAO</t>
    </r>
  </si>
  <si>
    <t>50,90</t>
  </si>
  <si>
    <r>
      <rPr>
        <sz val="10"/>
        <rFont val="Arial"/>
        <family val="2"/>
      </rPr>
      <t>72262</t>
    </r>
  </si>
  <si>
    <r>
      <rPr>
        <sz val="10"/>
        <rFont val="Arial"/>
        <family val="2"/>
      </rPr>
      <t>TERMINAL OU CONECTOR DE PRESSAO - PARA CABO 35MM2 - FORNECIMENTO E INSTALACAO</t>
    </r>
  </si>
  <si>
    <t>14,60</t>
  </si>
  <si>
    <r>
      <rPr>
        <sz val="10"/>
        <rFont val="Arial"/>
        <family val="2"/>
      </rPr>
      <t>72263</t>
    </r>
  </si>
  <si>
    <r>
      <rPr>
        <sz val="10"/>
        <rFont val="Arial"/>
        <family val="2"/>
      </rPr>
      <t>TERMINAL OU CONECTOR DE PRESSAO - PARA CABO 50MM2 - FORNECIMENTO E INSTALACAO</t>
    </r>
  </si>
  <si>
    <t>19,59</t>
  </si>
  <si>
    <t>74104/1</t>
  </si>
  <si>
    <r>
      <rPr>
        <sz val="10"/>
        <rFont val="Arial"/>
        <family val="2"/>
      </rPr>
      <t>CAIXA DE INSPEÇÃO EM ALVENARIA DE TIJOLO MACIÇO 40X40X40CM, REVESTIDAINTERNAMENTO COM BARRA LISA (CIMENTO E AREIA, TRAÇO 1:4) E=2,0CM, COMTAMPA PRÉ-MOLDADA DE CONCRETO E FUNDO DE CONCRETO 15MPA TIPO C - ESCAVAÇÃO E CONFECÇÃO</t>
    </r>
  </si>
  <si>
    <t>132,95</t>
  </si>
  <si>
    <r>
      <rPr>
        <b/>
        <sz val="10"/>
        <rFont val="Arial"/>
        <family val="2"/>
      </rPr>
      <t>SERVIÇOS COMPLEMENTARES</t>
    </r>
  </si>
  <si>
    <r>
      <rPr>
        <b/>
        <sz val="10"/>
        <rFont val="Arial"/>
        <family val="2"/>
      </rPr>
      <t>SERVIÇOS FINAIS</t>
    </r>
  </si>
  <si>
    <r>
      <rPr>
        <sz val="10"/>
        <rFont val="Arial"/>
        <family val="2"/>
      </rPr>
      <t>9537</t>
    </r>
  </si>
  <si>
    <r>
      <rPr>
        <sz val="10"/>
        <rFont val="Arial"/>
        <family val="2"/>
      </rPr>
      <t>Limpeza final da obra</t>
    </r>
  </si>
  <si>
    <t>2,09</t>
  </si>
  <si>
    <t>VALOR TOTAL DA OBRA</t>
  </si>
  <si>
    <r>
      <t>Município</t>
    </r>
    <r>
      <rPr>
        <sz val="10"/>
        <rFont val="Arial"/>
        <family val="2"/>
      </rPr>
      <t>: São Mateus / ES</t>
    </r>
  </si>
  <si>
    <r>
      <t>Endereço</t>
    </r>
    <r>
      <rPr>
        <sz val="10"/>
        <rFont val="Arial"/>
        <family val="2"/>
      </rPr>
      <t>: Av. José Tozze, no 2.220 - Centro</t>
    </r>
  </si>
  <si>
    <t>CRONOGRAMA FÍSICO / FINANCEIRO</t>
  </si>
  <si>
    <r>
      <rPr>
        <b/>
        <sz val="10"/>
        <rFont val="Arial"/>
        <family val="2"/>
      </rPr>
      <t>ITEM</t>
    </r>
  </si>
  <si>
    <r>
      <rPr>
        <b/>
        <sz val="10"/>
        <rFont val="Arial"/>
        <family val="2"/>
      </rPr>
      <t>DESCRIÇÃO</t>
    </r>
  </si>
  <si>
    <r>
      <rPr>
        <b/>
        <sz val="10"/>
        <rFont val="Arial"/>
        <family val="2"/>
      </rPr>
      <t>VALOR (R$)</t>
    </r>
  </si>
  <si>
    <r>
      <rPr>
        <b/>
        <sz val="10"/>
        <rFont val="Arial"/>
        <family val="2"/>
      </rPr>
      <t>MÊS 1</t>
    </r>
  </si>
  <si>
    <r>
      <rPr>
        <b/>
        <sz val="10"/>
        <rFont val="Arial"/>
        <family val="2"/>
      </rPr>
      <t>MÊS 2</t>
    </r>
  </si>
  <si>
    <r>
      <rPr>
        <b/>
        <sz val="10"/>
        <rFont val="Arial"/>
        <family val="2"/>
      </rPr>
      <t>MÊS 3</t>
    </r>
  </si>
  <si>
    <r>
      <rPr>
        <b/>
        <sz val="10"/>
        <rFont val="Arial"/>
        <family val="2"/>
      </rPr>
      <t>MÊS 4</t>
    </r>
  </si>
  <si>
    <r>
      <rPr>
        <b/>
        <sz val="10"/>
        <rFont val="Arial"/>
        <family val="2"/>
      </rPr>
      <t>MÊS 5</t>
    </r>
  </si>
  <si>
    <r>
      <rPr>
        <b/>
        <sz val="10"/>
        <rFont val="Arial"/>
        <family val="2"/>
      </rPr>
      <t>MÊS 6</t>
    </r>
  </si>
  <si>
    <r>
      <rPr>
        <b/>
        <sz val="10"/>
        <rFont val="Arial"/>
        <family val="2"/>
      </rPr>
      <t>Total parcela</t>
    </r>
  </si>
  <si>
    <r>
      <rPr>
        <sz val="10"/>
        <rFont val="Arial"/>
        <family val="2"/>
      </rPr>
      <t>ADMINISTRAÇÃO LOCAL DA OBRA</t>
    </r>
  </si>
  <si>
    <r>
      <rPr>
        <sz val="10"/>
        <rFont val="Arial"/>
        <family val="2"/>
      </rPr>
      <t>SERVIÇOS PRELIMINARES</t>
    </r>
  </si>
  <si>
    <r>
      <rPr>
        <sz val="10"/>
        <rFont val="Arial"/>
        <family val="2"/>
      </rPr>
      <t>MOVIMENTO DE TERRAS</t>
    </r>
  </si>
  <si>
    <r>
      <rPr>
        <sz val="10"/>
        <rFont val="Arial"/>
        <family val="2"/>
      </rPr>
      <t>FUNDAÇÕES</t>
    </r>
  </si>
  <si>
    <r>
      <rPr>
        <sz val="10"/>
        <rFont val="Arial"/>
        <family val="2"/>
      </rPr>
      <t>SUPERESTRUTURA</t>
    </r>
  </si>
  <si>
    <r>
      <rPr>
        <sz val="10"/>
        <rFont val="Arial"/>
        <family val="2"/>
      </rPr>
      <t>SISTEMA DE VEDAÇÃO VERTICAL (PAREDES)</t>
    </r>
  </si>
  <si>
    <r>
      <rPr>
        <sz val="10"/>
        <rFont val="Arial"/>
        <family val="2"/>
      </rPr>
      <t>ESQUADRIAS</t>
    </r>
  </si>
  <si>
    <r>
      <rPr>
        <sz val="10"/>
        <rFont val="Arial"/>
        <family val="2"/>
      </rPr>
      <t>COBERTURA</t>
    </r>
  </si>
  <si>
    <r>
      <rPr>
        <sz val="10"/>
        <rFont val="Arial"/>
        <family val="2"/>
      </rPr>
      <t>IMPERMEABILIZAÇÃO</t>
    </r>
  </si>
  <si>
    <r>
      <rPr>
        <sz val="10"/>
        <rFont val="Arial"/>
        <family val="2"/>
      </rPr>
      <t>REVESTIMENTOS INTERNOS E EXTERNOS</t>
    </r>
  </si>
  <si>
    <r>
      <rPr>
        <sz val="10"/>
        <rFont val="Arial"/>
        <family val="2"/>
      </rPr>
      <t>SISTEMAS DE PISOS INTERNOS E EXTERNOS (PAVIMENTAÇÃO)</t>
    </r>
  </si>
  <si>
    <r>
      <rPr>
        <sz val="10"/>
        <rFont val="Arial"/>
        <family val="2"/>
      </rPr>
      <t>INSTALAÇÃO HIDRÁULICA</t>
    </r>
  </si>
  <si>
    <r>
      <rPr>
        <sz val="10"/>
        <rFont val="Arial"/>
        <family val="2"/>
      </rPr>
      <t>DRENAGEM DE ÁGUAS PLUVIAIS</t>
    </r>
  </si>
  <si>
    <r>
      <rPr>
        <sz val="10"/>
        <rFont val="Arial"/>
        <family val="2"/>
      </rPr>
      <t>INSTALAÇÃO SANITÁRIA</t>
    </r>
  </si>
  <si>
    <r>
      <rPr>
        <sz val="10"/>
        <rFont val="Arial"/>
        <family val="2"/>
      </rPr>
      <t>BANCADAS, LOUÇAS, METAIS E COMPLEMENTOS</t>
    </r>
  </si>
  <si>
    <r>
      <rPr>
        <sz val="10"/>
        <rFont val="Arial"/>
        <family val="2"/>
      </rPr>
      <t>SISTEMA DE PROTEÇÃO CONTRA INCÊNDIO</t>
    </r>
  </si>
  <si>
    <r>
      <rPr>
        <sz val="10"/>
        <rFont val="Arial"/>
        <family val="2"/>
      </rPr>
      <t>INSTALAÇÕES ELÉTRICAS - 220V</t>
    </r>
  </si>
  <si>
    <r>
      <rPr>
        <sz val="10"/>
        <rFont val="Arial"/>
        <family val="2"/>
      </rPr>
      <t>INSTALAÇÕES DE CLIMATIZAÇÃO</t>
    </r>
  </si>
  <si>
    <r>
      <rPr>
        <sz val="10"/>
        <rFont val="Arial"/>
        <family val="2"/>
      </rPr>
      <t>INSTALAÇÕES DE REDE ESTRUTURADA</t>
    </r>
  </si>
  <si>
    <r>
      <rPr>
        <sz val="10"/>
        <rFont val="Arial"/>
        <family val="2"/>
      </rPr>
      <t>SISTEMA DE EXAUSTÃO MECÂNICA</t>
    </r>
  </si>
  <si>
    <r>
      <rPr>
        <sz val="10"/>
        <rFont val="Arial"/>
        <family val="2"/>
      </rPr>
      <t>SISTEMA DE PROTEÇÃO CONTRA DESCARGAS ATMOSFÉRICAS (SPDA)</t>
    </r>
  </si>
  <si>
    <r>
      <rPr>
        <sz val="10"/>
        <rFont val="Arial"/>
        <family val="2"/>
      </rPr>
      <t>SERVIÇOS COMPLEMENTARES</t>
    </r>
  </si>
  <si>
    <r>
      <rPr>
        <sz val="10"/>
        <rFont val="Arial"/>
        <family val="2"/>
      </rPr>
      <t>SERVIÇOS FINAIS</t>
    </r>
  </si>
  <si>
    <t>TOTAL</t>
  </si>
  <si>
    <r>
      <t xml:space="preserve">Obra: </t>
    </r>
    <r>
      <rPr>
        <sz val="10"/>
        <rFont val="Arial"/>
        <family val="2"/>
      </rPr>
      <t>Ampliação da Unidade de Saude 3</t>
    </r>
  </si>
  <si>
    <t>MEMÓRIA DE CÁLCULO</t>
  </si>
  <si>
    <t>ITEM</t>
  </si>
  <si>
    <t>DESCRIÇÃO DOS SERVIÇOS</t>
  </si>
  <si>
    <t>UNID</t>
  </si>
  <si>
    <t>Quant. Unit.</t>
  </si>
  <si>
    <t>LARG</t>
  </si>
  <si>
    <t>ALT</t>
  </si>
  <si>
    <t>OBS.</t>
  </si>
  <si>
    <t>QUANTIDADE</t>
  </si>
  <si>
    <t>1.1</t>
  </si>
  <si>
    <t>MES</t>
  </si>
  <si>
    <t>(15H*4SEM*6MESES)/220</t>
  </si>
  <si>
    <t>1.2</t>
  </si>
  <si>
    <t>1.3</t>
  </si>
  <si>
    <t xml:space="preserve">SERVIÇOS PRELIMINARES </t>
  </si>
  <si>
    <t>2.1</t>
  </si>
  <si>
    <t>Placa da obra - padrão Governo Federal</t>
  </si>
  <si>
    <t>M2</t>
  </si>
  <si>
    <t>2.2</t>
  </si>
  <si>
    <t>Locação da obra (execução de gabarito)</t>
  </si>
  <si>
    <t>2.3</t>
  </si>
  <si>
    <t>INSTALACAO E LIGACAO PROVISORIA PARA ABASTECIMENTO DE AGUA E ESGOTAMENTO SANITARIO EM CANTEIRO DE OBRAS,INCLUSIVE ESCAVACAO,EXCLUSIVE REPOSICAO DA PAVIMENTACAO DO LOGRADOURO PUBLICO</t>
  </si>
  <si>
    <t>2.4</t>
  </si>
  <si>
    <t>INSTALACAO E LIGACAO PROVISORIA DE ALIMENTACAO DE ENERGIA ELETRICA,EM BAIXA TENSAO,PARA CANTEIRO DE OBRAS,M3-CHAVE 100A,CARGA 3KW,20CV,EXCLUSIVE O FORNECIMENTO DO MEDIDOR</t>
  </si>
  <si>
    <t>2.5</t>
  </si>
  <si>
    <t>Tapume de chapa de madeira compensada, 6mm (40x2,00m, frente do terreno)</t>
  </si>
  <si>
    <t>MOVIMENTO DE TERRAS PARA FUNDAÇÕES</t>
  </si>
  <si>
    <t>3.1</t>
  </si>
  <si>
    <t>FUNDAÇÕES</t>
  </si>
  <si>
    <t>3.1.1</t>
  </si>
  <si>
    <t>ESCAVAÇÃO MANUAL DE VALAS. AF_03/2016</t>
  </si>
  <si>
    <t>M3</t>
  </si>
  <si>
    <t>SAPATAS</t>
  </si>
  <si>
    <t>S1-S3-S11-S12-S14-S16 (Ø=1,00M)</t>
  </si>
  <si>
    <t>CONCRETAGEM CONTRABARRANCO (SEM FORMA) - Incluido 5cm na altura de escvação para lastro de conc. Magro.</t>
  </si>
  <si>
    <t>S2-S9-S10-S13-S15 (Ø=1,20M)</t>
  </si>
  <si>
    <t>S4-S6 (Ø=1,50m)</t>
  </si>
  <si>
    <t>S5 (1,80MX1,80M)</t>
  </si>
  <si>
    <t>Acrescimo de 30cm p/ cada lado p/ montagem de forma, e 5cm na altura de escvação para lastro de conc. Magro.</t>
  </si>
  <si>
    <t>S7 (1,60MX1,60M)</t>
  </si>
  <si>
    <t>S8 (2,30MX2,30M)</t>
  </si>
  <si>
    <t>CINTAS</t>
  </si>
  <si>
    <t>Cintas Longitudinais 1 /2 / 3</t>
  </si>
  <si>
    <t>Cinta Transversal 4 / 5</t>
  </si>
  <si>
    <t>Cinta Transversal 6</t>
  </si>
  <si>
    <t>Cinta Transversal 7</t>
  </si>
  <si>
    <t>3.1.2</t>
  </si>
  <si>
    <t>3.1.3</t>
  </si>
  <si>
    <t>REATERRO DE VALA COM COMPACTAÇÃO MANUAL</t>
  </si>
  <si>
    <t>3.1.4</t>
  </si>
  <si>
    <t xml:space="preserve">FUNDAÇÕES </t>
  </si>
  <si>
    <t>4.1</t>
  </si>
  <si>
    <t>4.1.1</t>
  </si>
  <si>
    <t>LASTRO DE CONCRETO, E = 3 CM, PREPARO MECÂNICO, INCLUSOS LANÇAMENTO E ADENSAMENTO. AF_07_2016</t>
  </si>
  <si>
    <t>4.1.2</t>
  </si>
  <si>
    <t>4.1.3</t>
  </si>
  <si>
    <t>4.1.4</t>
  </si>
  <si>
    <t>ARMAÇÃO DE ESTRUTURAS DE CONCRETO ARMADO, EXCETO VIGAS, PILARES, LAJES E FUNDAÇÕES PROFUNDAS (DE EDIFÍCIOS DE MÚLTIPLOS PAVIMENTOS, EDIFICAÇÃO TÉRREA OU SOBRADO), UTILIZANDO AÇO CA-50 DE 10,0 MM - MONTAGEM. AF_12/2015</t>
  </si>
  <si>
    <t>KG</t>
  </si>
  <si>
    <t>CONFORME PROJETO DE FUNDAÇÕES</t>
  </si>
  <si>
    <t>4.1.5</t>
  </si>
  <si>
    <t>ARMAÇÃO DE ESTRUTURAS DE CONCRETO ARMADO, EXCETO VIGAS, PILARES, LAJES E FUNDAÇÕES PROFUNDAS (DE EDIFÍCIOS DE MÚLTIPLOS PAVIMENTOS, EDIFICAÇÃO TÉRREA OU SOBRADO), UTILIZANDO AÇO CA-50 DE 12,5 MM - MONTAGEM. AF_12/2015</t>
  </si>
  <si>
    <t>4.1.6</t>
  </si>
  <si>
    <t>ARMAÇÃO DE ESTRUTURAS DE CONCRETO ARMADO, EXCETO VIGAS, PILARES, LAJES E FUNDAÇÕES PROFUNDAS (DE EDIFÍCIOS DE MÚLTIPLOS PAVIMENTOS, EDIFICAÇÃO TÉRREA OU SOBRADO), UTILIZANDO AÇO CA-50 DE 16,0 MM - MONTAGEM. AF_12/2015</t>
  </si>
  <si>
    <t xml:space="preserve">SUPERESTRUTURA </t>
  </si>
  <si>
    <t>5.1</t>
  </si>
  <si>
    <t>ESTRUTURA METÁLICA</t>
  </si>
  <si>
    <t>5.1.1</t>
  </si>
  <si>
    <t>kg</t>
  </si>
  <si>
    <t>CONFORME MEMÓRIA DE CALCULO DA ESTRUTURA METÁLICA / ESCADA</t>
  </si>
  <si>
    <t>5.2</t>
  </si>
  <si>
    <t>5.2.1</t>
  </si>
  <si>
    <t>LAJE PRE-MOLDADA P/PISO, SOBRECARGA 200KG/M2, VAOS ATE 3,50M/E=8CM, C/LAJOTAS E CAP.C/CONC FCK=20MPA, 4CM, INTER-EIXO 38CM, C/ESCORAMENTO (REAPR.3X) E FERRAGEM NEGATIVA</t>
  </si>
  <si>
    <t>Laje Principal</t>
  </si>
  <si>
    <t>Laje Hall da Escada</t>
  </si>
  <si>
    <t>Laje Coberta Hall da Escada</t>
  </si>
  <si>
    <t>5.2.2</t>
  </si>
  <si>
    <t>ARMACAO EM TELA DE ACO SOLDADA NERVURADA Q-138, ACO CA-60, 4,2MM, MALHA 10X10CM</t>
  </si>
  <si>
    <t>Area da Laje x Coeficiente Steel Deck (1,48) x Perda de 5%</t>
  </si>
  <si>
    <t>SISTEMA DE VEDAÇÃO VERTICAL INTERNO E EXTERNO (PAREDES)</t>
  </si>
  <si>
    <t>6.2</t>
  </si>
  <si>
    <t>ALVENARIA DE VEDAÇÃO - 2o PAVIMENTO</t>
  </si>
  <si>
    <t>6.2.1</t>
  </si>
  <si>
    <t>PAINEL TERMICO EM CHAPA PRE-PINTADA NA COR BRANCA, C/ACABAMENTO LISO, ISOLAMENTO TERMICO POLIESTIRENO "F", ESP 50MM, FORNECIMENTO E INSTALAÇÃO (REF 2011 R$ 177,65, AJUSTADO PELA VARIAÇÃO DO INCC DO PERÍODO 47,37% )</t>
  </si>
  <si>
    <t>m2</t>
  </si>
  <si>
    <t xml:space="preserve">Painel Interno </t>
  </si>
  <si>
    <t>Paineis Internos do 2o Pavto</t>
  </si>
  <si>
    <t xml:space="preserve">Painel Externo 1 </t>
  </si>
  <si>
    <t>Fachada Externa do 1o Pavto</t>
  </si>
  <si>
    <t>Painel Externo 2</t>
  </si>
  <si>
    <t>Painel Externo 3</t>
  </si>
  <si>
    <t>6.2.2</t>
  </si>
  <si>
    <t>2 Vestiários</t>
  </si>
  <si>
    <t xml:space="preserve">ESQUADRIAS </t>
  </si>
  <si>
    <t>7.1</t>
  </si>
  <si>
    <t>PORTAS DE ALUMÍNIO - PA</t>
  </si>
  <si>
    <t>7.1.1</t>
  </si>
  <si>
    <t>PORTA DE ABRIR EM ALUMINIO</t>
  </si>
  <si>
    <t>7.2</t>
  </si>
  <si>
    <t>PORTAS DE PAINEL - PP</t>
  </si>
  <si>
    <t>7.2.1</t>
  </si>
  <si>
    <t>PORTA METALICA ACUSTICA,46DB,NAS DIMENSOES DE 900X2100MM,INCLUSIVE FECHADURA ESPECIAL COM CHAVE,MOLDURA EM CANTONEIRA DEACO.FORNECIMENTO E COLOCACAO</t>
  </si>
  <si>
    <t>PP1   90 x 210</t>
  </si>
  <si>
    <t>7.3</t>
  </si>
  <si>
    <t>PORTAS DE VIDRO - PV</t>
  </si>
  <si>
    <t>7.3.1</t>
  </si>
  <si>
    <t>PORTA DE VIDRO TEMPERADO, 0,9X2,10M, ESPESSURA 10MM, INCLUSIVE ACESSORIOS</t>
  </si>
  <si>
    <t>CJ</t>
  </si>
  <si>
    <t>7.4</t>
  </si>
  <si>
    <t>JANELAS DE ALUMÍNIO - JÁ</t>
  </si>
  <si>
    <t>7.4.1</t>
  </si>
  <si>
    <t>J1 - JANELA DE ALUMÍNIO DE CORRER, 2 FOLHAS, FIXAÇÃO COM ARGAMASSA, COM VIDROS, PADRONIZADA. AF_07/2016</t>
  </si>
  <si>
    <t>7.4.2</t>
  </si>
  <si>
    <t>J2 - JANELA DE ALUMÍNIO MAXIM-AR, FIXAÇÃO COM PARAFUSO SOBRE CONTRAMARCO (EXCLUSIVE CONTRAMARCO), COM VIDROS, PADRONIZADA. AF_07/2016</t>
  </si>
  <si>
    <t>7.4.3</t>
  </si>
  <si>
    <t>J3 - JANELA DE ALUMÍNIO MAXIM-AR, FIXAÇÃO COM PARAFUSO SOBRE CONTRAMARCO (EXCLUSIVE CONTRAMARCO), COM VIDROS, PADRONIZADA. AF_07/2016</t>
  </si>
  <si>
    <t>7.4.4</t>
  </si>
  <si>
    <t>J4 - JANELA DE ALUMÍNIO DE CORRER, 2 FOLHAS, FIXAÇÃO COM ARGAMASSA, COM VIDROS, PADRONIZADA. AF_07/2016</t>
  </si>
  <si>
    <t xml:space="preserve">SISTEMAS DE COBERTURA </t>
  </si>
  <si>
    <t>8.1</t>
  </si>
  <si>
    <t>TELHAMENTO COM TELHA METÁLICA TERMOACÚSTICA E = 30 MM, COM ATÉ 2 ÁGUAS, INCLUSO IÇAMENTO. AF_06/2016</t>
  </si>
  <si>
    <t>8.2</t>
  </si>
  <si>
    <t>Cumeeira em perfil ondulado de aço zincado</t>
  </si>
  <si>
    <t>M</t>
  </si>
  <si>
    <t>8.3</t>
  </si>
  <si>
    <t>RUFO EM CHAPA DE AÇO GALVANIZADO NÚMERO 24, CORTE DE 25 CM, INCLUSO TRANSPORTE VERTICAL. AF_06/2016</t>
  </si>
  <si>
    <t>8.4</t>
  </si>
  <si>
    <t>CALHA EM CHAPA DE AÇO GALVANIZADO NÚMERO 24, DESENVOLVIMENTO DE 100 CM, INCLUSO TRANSPORTE VERTICAL. AF_06/2016</t>
  </si>
  <si>
    <t>8.5</t>
  </si>
  <si>
    <t xml:space="preserve">IMPERMEABILIZAÇÃO </t>
  </si>
  <si>
    <t>9.1</t>
  </si>
  <si>
    <t>IMPERMEABILIZACAO COM PINTURA A BASE DE RESINA EPOXI ALCATRAO, UMA DEMAO.</t>
  </si>
  <si>
    <r>
      <rPr>
        <b/>
        <sz val="10"/>
        <rFont val="Arial"/>
        <family val="2"/>
      </rPr>
      <t>Terreo</t>
    </r>
    <r>
      <rPr>
        <sz val="10"/>
        <rFont val="Arial"/>
        <family val="2"/>
      </rPr>
      <t xml:space="preserve"> -  Sapatas (16 x 1,2 x 4 x 0,612)                                                                                                                        </t>
    </r>
    <r>
      <rPr>
        <b/>
        <sz val="10"/>
        <rFont val="Arial"/>
        <family val="2"/>
      </rPr>
      <t xml:space="preserve">             1o Pavto</t>
    </r>
    <r>
      <rPr>
        <sz val="10"/>
        <rFont val="Arial"/>
        <family val="2"/>
      </rPr>
      <t xml:space="preserve"> - </t>
    </r>
  </si>
  <si>
    <t>9.2</t>
  </si>
  <si>
    <t>IMPERMEABILIZACAO DE SUPERFICIE COM MANTA ASFALTICA PROTEGIDA COM FILME DE ALUMINIO GOFRADO (DE ESPESSURA 0,8MM), INCLUSA APLICACAO DE EMULSAO ASFALTICA, E=3MM.</t>
  </si>
  <si>
    <t>REVESTIMENTOS INTERNOS E EXTERNOS</t>
  </si>
  <si>
    <t>10.1</t>
  </si>
  <si>
    <t>Revestimento cerâmico de paredes PEI IV- cerâmica 30 x 40 cm - incl. rejunte - conforme projeto - branca</t>
  </si>
  <si>
    <t>10.2</t>
  </si>
  <si>
    <t>REVESTIMENTO DE FACHADA OU AREAS INTERNAS C/PAINEL DE ALUM. COMPOSTO,SENDO DUAS LAMINAS DE ALUM.C/0,21MM ESP.,PINTURA EMSUPERPOLIESTER,NO SISTEMA COIL COATING,ESP.DO COMPOSTO DE4MM,PINTURA PROTEGIDA POR FILME HAVY DUTY NAS FACES PINTADAS,NUCLEO EM POLIETILENO DE BAIXA DENSIDADE (RIGIDO),INCL.SUBESTRUTURA ALUM.E DEMAIS INSUMOS NECES.A COLOC.FORN.E COLOC.</t>
  </si>
  <si>
    <t>10.3</t>
  </si>
  <si>
    <t xml:space="preserve">ADMINISTRAÇÃO </t>
  </si>
  <si>
    <t>REUNIÃO</t>
  </si>
  <si>
    <t>ADMINISTRAÇÃO 2</t>
  </si>
  <si>
    <t>VESTIÁRIO FEMIN.</t>
  </si>
  <si>
    <t>VESTIÁRIO MASC.</t>
  </si>
  <si>
    <t>COZINHA/REFEITÓRIO</t>
  </si>
  <si>
    <t>W.C.</t>
  </si>
  <si>
    <t>AUDITÓRIO</t>
  </si>
  <si>
    <t>CONSULTÓRIO</t>
  </si>
  <si>
    <t>RECEPÇÃO</t>
  </si>
  <si>
    <t>HALL ESCADA</t>
  </si>
  <si>
    <t>CIRUCLAÇÃO</t>
  </si>
  <si>
    <t>10.4</t>
  </si>
  <si>
    <t>10.5</t>
  </si>
  <si>
    <t>CAIXILHO FIXO, DE ALUMINIO, PARA VIDRO</t>
  </si>
  <si>
    <t>10.6</t>
  </si>
  <si>
    <t>VIDRO COMUM LAMINADO LISO INCOLOR DUPLO, ESPESSURA TOTAL 8 MM (CADA CAMADA DE 4 MM) - COLOCADO</t>
  </si>
  <si>
    <t>10.7</t>
  </si>
  <si>
    <t>PELICULA REFLETIVA ALTA INTENSIDADE</t>
  </si>
  <si>
    <t>SISTEMAS DE PISOS INTERNOS E EXTERNOS (PAVIMENTAÇÃO)</t>
  </si>
  <si>
    <t>11.1</t>
  </si>
  <si>
    <t>PAVIMENTAÇÃO INTERNA</t>
  </si>
  <si>
    <t>m²</t>
  </si>
  <si>
    <t>Area de piso Cerâmico + Vinílico</t>
  </si>
  <si>
    <t>11.1.2</t>
  </si>
  <si>
    <t>BASE OU CAMADA REGULARIZADORA,EXECUTADA COM ARGAMASSA DE CIMENTO A AREIA,NO TRACO 1:4,NA ESPESSURA DE 2CM</t>
  </si>
  <si>
    <t>11.1.3</t>
  </si>
  <si>
    <t>Piso cerâmico antiderrapante PEI V - 40 x 40 cm - incl. rejunte - conforme projeto</t>
  </si>
  <si>
    <t>11.1.4</t>
  </si>
  <si>
    <t>Piso vinílico em manta e=2,0mm</t>
  </si>
  <si>
    <t>11.1.5</t>
  </si>
  <si>
    <t>m</t>
  </si>
  <si>
    <t>DML</t>
  </si>
  <si>
    <t>11.1.6</t>
  </si>
  <si>
    <t>SOLEIRA GRANITO CINZA ANDORINHA ESP=2CM,L=15CM</t>
  </si>
  <si>
    <t>VEST. FEMIN,</t>
  </si>
  <si>
    <t>VEST. MASC.</t>
  </si>
  <si>
    <t xml:space="preserve">W.C. </t>
  </si>
  <si>
    <t>11.1.7</t>
  </si>
  <si>
    <t>PISO TATIL DE ALERTA OU DIRECIONAL, DE BORRACHA, COLORIDO, 25 X 25 CM, E = 12 MM, PARA ARGAMASSA</t>
  </si>
  <si>
    <t>Alerta</t>
  </si>
  <si>
    <t>Terreo</t>
  </si>
  <si>
    <t>Direcional</t>
  </si>
  <si>
    <t>11.2</t>
  </si>
  <si>
    <t>PAVIMENTAÇÃO EXTERNA</t>
  </si>
  <si>
    <t>11.2.1</t>
  </si>
  <si>
    <t>Passeio em concreto desempenado com junta plastica a cada 1,20m, e=7cm</t>
  </si>
  <si>
    <t>11.2.2</t>
  </si>
  <si>
    <t>EXECUÇÃO DE PAVIMENTO EM PISO INTERTRAVADO, COM BLOCO SEXTAVADO DE 25 X 25 CM, ESPESSURA 10 CM. AF_12/2015</t>
  </si>
  <si>
    <t>11.2.3</t>
  </si>
  <si>
    <t>PISO TATIL ALERTA OU DIRECIONAL, DE BORRACHA, COLORIDO, 25 X 25 CM, E = 5 MM, PARA COLA</t>
  </si>
  <si>
    <t>11.2.4</t>
  </si>
  <si>
    <t>Meio -fio (guia) de concreto pré-moldado, rejuntado com argamassa, incluindo escavação e reaterro</t>
  </si>
  <si>
    <t>11.2.5</t>
  </si>
  <si>
    <t>AREIA PARA LEITO FILTRANTE (0,42 A 1,68 MM) - POSTO JAZIDA/FORNECEDOR (RETIRADO NA JAZIDA, SEM TRANSPORTE)</t>
  </si>
  <si>
    <t>11.2.6</t>
  </si>
  <si>
    <t>Grama batatais em placas</t>
  </si>
  <si>
    <t xml:space="preserve">INSTALAÇÃO HIDRÁULICA </t>
  </si>
  <si>
    <r>
      <t xml:space="preserve">CONFORME PLANILHA </t>
    </r>
    <r>
      <rPr>
        <b/>
        <sz val="10"/>
        <rFont val="Arial"/>
        <family val="2"/>
      </rPr>
      <t xml:space="preserve">USSM-PLANILHA-HID-R00 </t>
    </r>
    <r>
      <rPr>
        <sz val="10"/>
        <rFont val="Arial"/>
        <family val="2"/>
      </rPr>
      <t>DE QUANTITAVOS DO PROJETO</t>
    </r>
  </si>
  <si>
    <t>DRENAGEM DE ÁGUAS PLUVIAIS</t>
  </si>
  <si>
    <r>
      <t xml:space="preserve">CONFORME PLANILHA </t>
    </r>
    <r>
      <rPr>
        <b/>
        <sz val="10"/>
        <rFont val="Arial"/>
        <family val="2"/>
      </rPr>
      <t xml:space="preserve">USSM-PLANILHA-ESG-R00 </t>
    </r>
    <r>
      <rPr>
        <sz val="10"/>
        <rFont val="Arial"/>
        <family val="2"/>
      </rPr>
      <t>DE QUANTITAVOS DO PROJETO</t>
    </r>
  </si>
  <si>
    <t xml:space="preserve">INSTALAÇÃO SANITÁRIA </t>
  </si>
  <si>
    <t>BANCADAS, LOUÇAS, METAIS E COMPLEMENTOS</t>
  </si>
  <si>
    <t>15.1</t>
  </si>
  <si>
    <t>BANCADAS</t>
  </si>
  <si>
    <t>15.1.1</t>
  </si>
  <si>
    <t>Cozinha/Refeitório - 1° Pav.</t>
  </si>
  <si>
    <t>15.2</t>
  </si>
  <si>
    <t>LOUÇAS</t>
  </si>
  <si>
    <t>15.2.1</t>
  </si>
  <si>
    <t>Bacia Sanitária Convencional, código Izy P.11, DECA, ou equivalente com acessórios- fornecimento e instalação</t>
  </si>
  <si>
    <t>W.C. - 1° Pav.</t>
  </si>
  <si>
    <t>15.2.2</t>
  </si>
  <si>
    <t>Bacia Convencional Studio Kids, código PI.16, para valvula de descarga, em louca branca, assento plastico, anel de vedação, tubo pvc ligacao - fornecimento e instalacao, Deca ou equivalente</t>
  </si>
  <si>
    <t>Vestiários Masculino e Feminino - 1° Pav.</t>
  </si>
  <si>
    <t>15.2.3</t>
  </si>
  <si>
    <t>Valvula de descarga 1 1/2", com registro, acabamento em metal cromado - fornecimento e instalação</t>
  </si>
  <si>
    <t>15.2.4</t>
  </si>
  <si>
    <t>CUBA DE EMBUTIR DE AÇO INOXIDÁVEL MÉDIA, INCLUSO VÁLVULA TIPO AMERICANA E SIFÃO TIPO GARRAFA EM METAL CROMADO - FORNECIMENTO E INSTALAÇÃO. AF_12/2013</t>
  </si>
  <si>
    <t>15.2.5</t>
  </si>
  <si>
    <t>Cuba de Embutir Oval cor Branco Gelo, código L.37, DECA, ou equivalente, em bancada ecomplementos (válvula, sifao e engate flexível cromados), exceto torneira.</t>
  </si>
  <si>
    <t>Consultórios e Vestiários - 1° Pav.</t>
  </si>
  <si>
    <t>15.2.6</t>
  </si>
  <si>
    <t>Lavatório pequeno Ravena/Izy cor branco gelo, com coluna suspensa, código L915 DECA ou equivalente</t>
  </si>
  <si>
    <t>15.3</t>
  </si>
  <si>
    <t>METAIS</t>
  </si>
  <si>
    <t>15.3.1</t>
  </si>
  <si>
    <t>Chuveiro Maxi Ducha, LORENZETTI, com Mangueira plástica/desviador para duchas elétricas, cógigo 8010-A, LORENZETTI,  ou equivalente</t>
  </si>
  <si>
    <t>Vestiários - 1° Pav.</t>
  </si>
  <si>
    <t>15.3.2</t>
  </si>
  <si>
    <t>BARRA DE APOIO LAVATORIO DE CANTO, EM ACO INOX POLIDO, DIAMETRO MINIMO 3 CM.</t>
  </si>
  <si>
    <t>15.3.3</t>
  </si>
  <si>
    <t>BARRA DE APOIO RETA, EM ACO INOX POLIDO, COMPRIMENTO 80CM, DIAMETRO MINIMO 3 CM</t>
  </si>
  <si>
    <t>15.3.4</t>
  </si>
  <si>
    <t>Torneira para cozinha de mesa bica móvel Izy, código 1167.C37, DECA, ou equivalente</t>
  </si>
  <si>
    <t>15.3.5</t>
  </si>
  <si>
    <t>Torneira para lavatório de mesa bica baixa Izy, código 1193.C37, Deca ou equivalente</t>
  </si>
  <si>
    <t>W.C./Vestiários/Refeitórios.</t>
  </si>
  <si>
    <t>15.4</t>
  </si>
  <si>
    <t>ACESSÓRIOS</t>
  </si>
  <si>
    <t>15.4.1</t>
  </si>
  <si>
    <t>PAPELEIRA PLASTICA TIPO DISPENSER PARA PAPEL HIGIENICO ROLAO</t>
  </si>
  <si>
    <t>Mesma quantidade de Bacias</t>
  </si>
  <si>
    <t>15.4.2</t>
  </si>
  <si>
    <t>TOALHEIRO PLASTICO TIPO DISPENSER PARA PAPEL TOALHA INTERFOLHADO</t>
  </si>
  <si>
    <t>Mesma quantidade de cubas e lavatórios</t>
  </si>
  <si>
    <t>15.4.3</t>
  </si>
  <si>
    <t>SABONETEIRA PLASTICA TIPO DISPENSER PARA SABONETE LIQUIDO COM RESERVATORIO 800 A 1500 ML, INCLUSO FIXAÇÃO. AF_10/2016</t>
  </si>
  <si>
    <t>Mesma quantidade de cubas</t>
  </si>
  <si>
    <t>SISTEMA DE PROTEÇÃO CONTRA INCÊNDIO</t>
  </si>
  <si>
    <t>CONFORME PLANILHA DE QUANTITAVOS DO PROJETO DE INCÊNDO</t>
  </si>
  <si>
    <t>INSTALAÇÕES ELÉTRICAS - 220V</t>
  </si>
  <si>
    <r>
      <t xml:space="preserve">CONFORME PLANILHA </t>
    </r>
    <r>
      <rPr>
        <b/>
        <sz val="10"/>
        <rFont val="Arial"/>
        <family val="2"/>
      </rPr>
      <t xml:space="preserve">USSM-PLANILHA-ELE-R00 </t>
    </r>
    <r>
      <rPr>
        <sz val="10"/>
        <rFont val="Arial"/>
        <family val="2"/>
      </rPr>
      <t>DE QUANTITAVOS DO PROJETO</t>
    </r>
  </si>
  <si>
    <t>INSTALAÇÕES DE CLIMATIZAÇÃO</t>
  </si>
  <si>
    <t>18.1</t>
  </si>
  <si>
    <t>AR-CONDICIONADO FRIO SPLIT HI-WALL (PAREDE) 12000 BTU/H</t>
  </si>
  <si>
    <t>Administração</t>
  </si>
  <si>
    <t>Reunião</t>
  </si>
  <si>
    <t>Administração 2</t>
  </si>
  <si>
    <t>Consultório 1</t>
  </si>
  <si>
    <t>Consultório 2</t>
  </si>
  <si>
    <t>Consultório 3</t>
  </si>
  <si>
    <t>Consultório 4</t>
  </si>
  <si>
    <t>Consultório 5</t>
  </si>
  <si>
    <t>Consultório 6</t>
  </si>
  <si>
    <t>18.2</t>
  </si>
  <si>
    <t>AR-CONDICIONADO FRIO SPLIT PISO-TETO 18000 BTU/H</t>
  </si>
  <si>
    <t>18.3</t>
  </si>
  <si>
    <t>AR-CONDICIONADO FRIO SPLIT PISO-TETO 36000 BTU/H</t>
  </si>
  <si>
    <t>Recepção</t>
  </si>
  <si>
    <t>INSTALAÇÕES DE REDE ESTRUTURADA</t>
  </si>
  <si>
    <r>
      <t xml:space="preserve">CONFORME PLANILHA </t>
    </r>
    <r>
      <rPr>
        <b/>
        <sz val="10"/>
        <rFont val="Arial"/>
        <family val="2"/>
      </rPr>
      <t xml:space="preserve">USSM-PLANILHA-ESP-R00 </t>
    </r>
    <r>
      <rPr>
        <sz val="10"/>
        <rFont val="Arial"/>
        <family val="2"/>
      </rPr>
      <t>DE QUANTITAVOS DO PROJETO</t>
    </r>
  </si>
  <si>
    <t>SISTEMA DE EXAUSTÃO MECÂNICA</t>
  </si>
  <si>
    <t>20.1</t>
  </si>
  <si>
    <t>un</t>
  </si>
  <si>
    <t>W.C. e Vestiários</t>
  </si>
  <si>
    <t>SISTEMA DE PROTEÇÃO CONTRA DESC. ATMOSFÉRICAS (SPDA)</t>
  </si>
  <si>
    <r>
      <t xml:space="preserve">CONFORME PLANILHA </t>
    </r>
    <r>
      <rPr>
        <b/>
        <sz val="10"/>
        <rFont val="Arial"/>
        <family val="2"/>
      </rPr>
      <t xml:space="preserve">USSM-PLANILHA-SPDA-R00 </t>
    </r>
    <r>
      <rPr>
        <sz val="10"/>
        <rFont val="Arial"/>
        <family val="2"/>
      </rPr>
      <t>DE QUANTITAVOS DO PROJETO</t>
    </r>
  </si>
  <si>
    <t>SERVIÇOS COMPLEMENTARES</t>
  </si>
  <si>
    <t>22.1</t>
  </si>
  <si>
    <t>ELEVADOR DE PASSAGUEIROS</t>
  </si>
  <si>
    <t>22.1.1</t>
  </si>
  <si>
    <t>Hall da Escada - 1° Pav.</t>
  </si>
  <si>
    <t>SERVIÇOS FINAIS</t>
  </si>
  <si>
    <t>23.1</t>
  </si>
  <si>
    <t>Limpeza final da obra</t>
  </si>
  <si>
    <r>
      <t>Obra:</t>
    </r>
    <r>
      <rPr>
        <sz val="10"/>
        <rFont val="Arial"/>
        <family val="2"/>
      </rPr>
      <t xml:space="preserve"> Ampliação da Unidade de Saude 3</t>
    </r>
  </si>
  <si>
    <t>BDI</t>
  </si>
  <si>
    <t>DEMONSTRATIVO BDI</t>
  </si>
  <si>
    <t>VALOR</t>
  </si>
  <si>
    <t>Administração Central</t>
  </si>
  <si>
    <t>Seguro + Garantia</t>
  </si>
  <si>
    <t>Riscos</t>
  </si>
  <si>
    <t>Despesas Financeiras</t>
  </si>
  <si>
    <t>Lucro</t>
  </si>
  <si>
    <t>Impostos (soma)</t>
  </si>
  <si>
    <t>PIS</t>
  </si>
  <si>
    <t>COFINS</t>
  </si>
  <si>
    <t xml:space="preserve">ISS </t>
  </si>
  <si>
    <t>INSS</t>
  </si>
  <si>
    <t>FÓRMULA</t>
  </si>
  <si>
    <t>BDI = { [ (1+AC/100+S/100+R/100+G/100) x (1+DF/100) x (1+L/100) / (1-I/100)] -1} x 100</t>
  </si>
  <si>
    <t>TOTAL DO BDI</t>
  </si>
  <si>
    <t>LEIS SOCIAIS COM DESONERAÇÃO</t>
  </si>
  <si>
    <r>
      <rPr>
        <b/>
        <sz val="11"/>
        <rFont val="Arial"/>
        <family val="2"/>
      </rPr>
      <t>COD</t>
    </r>
  </si>
  <si>
    <r>
      <rPr>
        <b/>
        <sz val="11"/>
        <rFont val="Arial"/>
        <family val="2"/>
      </rPr>
      <t>DESCRIÇÃO</t>
    </r>
  </si>
  <si>
    <r>
      <rPr>
        <b/>
        <sz val="11"/>
        <rFont val="Arial"/>
        <family val="2"/>
      </rPr>
      <t>HORA %</t>
    </r>
  </si>
  <si>
    <r>
      <rPr>
        <b/>
        <sz val="11"/>
        <rFont val="Arial"/>
        <family val="2"/>
      </rPr>
      <t>MES %</t>
    </r>
  </si>
  <si>
    <r>
      <rPr>
        <b/>
        <sz val="8"/>
        <rFont val="Arial"/>
        <family val="2"/>
      </rPr>
      <t>A</t>
    </r>
  </si>
  <si>
    <r>
      <rPr>
        <b/>
        <sz val="8"/>
        <rFont val="Arial"/>
        <family val="2"/>
      </rPr>
      <t>GRUPO A</t>
    </r>
  </si>
  <si>
    <r>
      <rPr>
        <sz val="8"/>
        <rFont val="Arial"/>
        <family val="2"/>
      </rPr>
      <t>A1</t>
    </r>
  </si>
  <si>
    <r>
      <rPr>
        <sz val="8"/>
        <rFont val="Arial"/>
        <family val="2"/>
      </rPr>
      <t>INSS</t>
    </r>
  </si>
  <si>
    <r>
      <rPr>
        <sz val="8"/>
        <rFont val="Arial"/>
        <family val="2"/>
      </rPr>
      <t>A2</t>
    </r>
  </si>
  <si>
    <r>
      <rPr>
        <sz val="8"/>
        <rFont val="Arial"/>
        <family val="2"/>
      </rPr>
      <t>SESI</t>
    </r>
  </si>
  <si>
    <r>
      <rPr>
        <sz val="8"/>
        <rFont val="Arial"/>
        <family val="2"/>
      </rPr>
      <t>A3</t>
    </r>
  </si>
  <si>
    <r>
      <rPr>
        <sz val="8"/>
        <rFont val="Arial"/>
        <family val="2"/>
      </rPr>
      <t>SENAI</t>
    </r>
  </si>
  <si>
    <r>
      <rPr>
        <sz val="8"/>
        <rFont val="Arial"/>
        <family val="2"/>
      </rPr>
      <t>A4</t>
    </r>
  </si>
  <si>
    <r>
      <rPr>
        <sz val="8"/>
        <rFont val="Arial"/>
        <family val="2"/>
      </rPr>
      <t>INCRA</t>
    </r>
  </si>
  <si>
    <r>
      <rPr>
        <sz val="8"/>
        <rFont val="Arial"/>
        <family val="2"/>
      </rPr>
      <t>A5</t>
    </r>
  </si>
  <si>
    <r>
      <rPr>
        <sz val="8"/>
        <rFont val="Arial"/>
        <family val="2"/>
      </rPr>
      <t>SEBRAE</t>
    </r>
  </si>
  <si>
    <r>
      <rPr>
        <sz val="8"/>
        <rFont val="Arial"/>
        <family val="2"/>
      </rPr>
      <t>A6</t>
    </r>
  </si>
  <si>
    <r>
      <rPr>
        <sz val="8"/>
        <rFont val="Arial"/>
        <family val="2"/>
      </rPr>
      <t>Salário Educação</t>
    </r>
  </si>
  <si>
    <r>
      <rPr>
        <sz val="8"/>
        <rFont val="Arial"/>
        <family val="2"/>
      </rPr>
      <t>A7</t>
    </r>
  </si>
  <si>
    <r>
      <rPr>
        <sz val="8"/>
        <rFont val="Arial"/>
        <family val="2"/>
      </rPr>
      <t xml:space="preserve">Seguro Contra Acidentes de Trabalho </t>
    </r>
  </si>
  <si>
    <r>
      <rPr>
        <sz val="8"/>
        <rFont val="Arial"/>
        <family val="2"/>
      </rPr>
      <t>A8</t>
    </r>
  </si>
  <si>
    <r>
      <rPr>
        <sz val="8"/>
        <rFont val="Arial"/>
        <family val="2"/>
      </rPr>
      <t>FGTS</t>
    </r>
  </si>
  <si>
    <r>
      <rPr>
        <sz val="8"/>
        <rFont val="Arial"/>
        <family val="2"/>
      </rPr>
      <t>A9</t>
    </r>
  </si>
  <si>
    <r>
      <rPr>
        <sz val="8"/>
        <rFont val="Arial"/>
        <family val="2"/>
      </rPr>
      <t>SECONCI</t>
    </r>
  </si>
  <si>
    <r>
      <rPr>
        <b/>
        <sz val="8"/>
        <rFont val="Arial"/>
        <family val="2"/>
      </rPr>
      <t>TOTAL</t>
    </r>
  </si>
  <si>
    <r>
      <rPr>
        <b/>
        <sz val="8"/>
        <rFont val="Arial"/>
        <family val="2"/>
      </rPr>
      <t>B</t>
    </r>
  </si>
  <si>
    <r>
      <rPr>
        <b/>
        <sz val="8"/>
        <rFont val="Arial"/>
        <family val="2"/>
      </rPr>
      <t>GRUPO B</t>
    </r>
  </si>
  <si>
    <r>
      <rPr>
        <sz val="8"/>
        <rFont val="Arial"/>
        <family val="2"/>
      </rPr>
      <t>B1</t>
    </r>
  </si>
  <si>
    <r>
      <rPr>
        <sz val="8"/>
        <rFont val="Arial"/>
        <family val="2"/>
      </rPr>
      <t>Repouso Semanal Remunerado</t>
    </r>
  </si>
  <si>
    <r>
      <rPr>
        <sz val="8"/>
        <rFont val="Arial"/>
        <family val="2"/>
      </rPr>
      <t>B2</t>
    </r>
  </si>
  <si>
    <r>
      <rPr>
        <sz val="8"/>
        <rFont val="Arial"/>
        <family val="2"/>
      </rPr>
      <t>Feriados</t>
    </r>
  </si>
  <si>
    <r>
      <rPr>
        <sz val="8"/>
        <rFont val="Arial"/>
        <family val="2"/>
      </rPr>
      <t>B3</t>
    </r>
  </si>
  <si>
    <r>
      <rPr>
        <sz val="8"/>
        <rFont val="Arial"/>
        <family val="2"/>
      </rPr>
      <t>Auxílio - Enfermidade</t>
    </r>
  </si>
  <si>
    <r>
      <rPr>
        <sz val="8"/>
        <rFont val="Arial"/>
        <family val="2"/>
      </rPr>
      <t>B4</t>
    </r>
  </si>
  <si>
    <r>
      <rPr>
        <sz val="8"/>
        <rFont val="Arial"/>
        <family val="2"/>
      </rPr>
      <t>13º Salário</t>
    </r>
  </si>
  <si>
    <r>
      <rPr>
        <sz val="8"/>
        <rFont val="Arial"/>
        <family val="2"/>
      </rPr>
      <t>B5</t>
    </r>
  </si>
  <si>
    <r>
      <rPr>
        <sz val="8"/>
        <rFont val="Arial"/>
        <family val="2"/>
      </rPr>
      <t>Licença PaternidadE</t>
    </r>
  </si>
  <si>
    <r>
      <rPr>
        <sz val="8"/>
        <rFont val="Arial"/>
        <family val="2"/>
      </rPr>
      <t>B6</t>
    </r>
  </si>
  <si>
    <r>
      <rPr>
        <sz val="8"/>
        <rFont val="Arial"/>
        <family val="2"/>
      </rPr>
      <t>Faltas Justificadas</t>
    </r>
  </si>
  <si>
    <r>
      <rPr>
        <sz val="8"/>
        <rFont val="Arial"/>
        <family val="2"/>
      </rPr>
      <t>B7</t>
    </r>
  </si>
  <si>
    <r>
      <rPr>
        <sz val="8"/>
        <rFont val="Arial"/>
        <family val="2"/>
      </rPr>
      <t>Dias de Chuvas</t>
    </r>
  </si>
  <si>
    <r>
      <rPr>
        <sz val="8"/>
        <rFont val="Arial"/>
        <family val="2"/>
      </rPr>
      <t>B8</t>
    </r>
  </si>
  <si>
    <r>
      <rPr>
        <sz val="8"/>
        <rFont val="Arial"/>
        <family val="2"/>
      </rPr>
      <t>Auxílio Acidente de Trabalho</t>
    </r>
  </si>
  <si>
    <r>
      <rPr>
        <sz val="8"/>
        <rFont val="Arial"/>
        <family val="2"/>
      </rPr>
      <t>B9</t>
    </r>
  </si>
  <si>
    <r>
      <rPr>
        <sz val="8"/>
        <rFont val="Arial"/>
        <family val="2"/>
      </rPr>
      <t>Férias Gozadas</t>
    </r>
  </si>
  <si>
    <r>
      <rPr>
        <sz val="8"/>
        <rFont val="Arial"/>
        <family val="2"/>
      </rPr>
      <t>B10</t>
    </r>
  </si>
  <si>
    <r>
      <rPr>
        <sz val="8"/>
        <rFont val="Arial"/>
        <family val="2"/>
      </rPr>
      <t>Salário Maternidade</t>
    </r>
  </si>
  <si>
    <r>
      <rPr>
        <b/>
        <sz val="8"/>
        <rFont val="Arial"/>
        <family val="2"/>
      </rPr>
      <t>C</t>
    </r>
  </si>
  <si>
    <r>
      <rPr>
        <b/>
        <sz val="8"/>
        <rFont val="Arial"/>
        <family val="2"/>
      </rPr>
      <t>GRUPO C</t>
    </r>
  </si>
  <si>
    <r>
      <rPr>
        <sz val="8"/>
        <rFont val="Arial"/>
        <family val="2"/>
      </rPr>
      <t>C1</t>
    </r>
  </si>
  <si>
    <r>
      <rPr>
        <sz val="8"/>
        <rFont val="Arial"/>
        <family val="2"/>
      </rPr>
      <t>Aviso Prévio Indenizado</t>
    </r>
  </si>
  <si>
    <r>
      <rPr>
        <sz val="8"/>
        <rFont val="Arial"/>
        <family val="2"/>
      </rPr>
      <t>C2</t>
    </r>
  </si>
  <si>
    <r>
      <rPr>
        <sz val="8"/>
        <rFont val="Arial"/>
        <family val="2"/>
      </rPr>
      <t>Aviso Prévio Trabalhado</t>
    </r>
  </si>
  <si>
    <r>
      <rPr>
        <sz val="8"/>
        <rFont val="Arial"/>
        <family val="2"/>
      </rPr>
      <t>C3</t>
    </r>
  </si>
  <si>
    <r>
      <rPr>
        <sz val="8"/>
        <rFont val="Arial"/>
        <family val="2"/>
      </rPr>
      <t>Férias Indenizadas</t>
    </r>
  </si>
  <si>
    <r>
      <rPr>
        <sz val="8"/>
        <rFont val="Arial"/>
        <family val="2"/>
      </rPr>
      <t>C4</t>
    </r>
  </si>
  <si>
    <r>
      <rPr>
        <sz val="8"/>
        <rFont val="Arial"/>
        <family val="2"/>
      </rPr>
      <t>Depósito Rescisão Sem Justa Causa</t>
    </r>
  </si>
  <si>
    <r>
      <rPr>
        <sz val="8"/>
        <rFont val="Arial"/>
        <family val="2"/>
      </rPr>
      <t>C5</t>
    </r>
  </si>
  <si>
    <r>
      <rPr>
        <sz val="8"/>
        <rFont val="Arial"/>
        <family val="2"/>
      </rPr>
      <t>Indenização Adicional</t>
    </r>
  </si>
  <si>
    <r>
      <rPr>
        <b/>
        <sz val="8"/>
        <rFont val="Arial"/>
        <family val="2"/>
      </rPr>
      <t>D</t>
    </r>
  </si>
  <si>
    <r>
      <rPr>
        <b/>
        <sz val="8"/>
        <rFont val="Arial"/>
        <family val="2"/>
      </rPr>
      <t>GRUPO D</t>
    </r>
  </si>
  <si>
    <r>
      <rPr>
        <sz val="8"/>
        <rFont val="Arial"/>
        <family val="2"/>
      </rPr>
      <t>D1</t>
    </r>
  </si>
  <si>
    <r>
      <rPr>
        <sz val="8"/>
        <rFont val="Arial"/>
        <family val="2"/>
      </rPr>
      <t xml:space="preserve">Reincidência de Grupo A sobre Grupo B </t>
    </r>
  </si>
  <si>
    <r>
      <rPr>
        <sz val="8"/>
        <rFont val="Arial"/>
        <family val="2"/>
      </rPr>
      <t>D2</t>
    </r>
  </si>
  <si>
    <r>
      <rPr>
        <sz val="8"/>
        <rFont val="Arial"/>
        <family val="2"/>
      </rPr>
      <t>Reincidência de Grupo A sobre Aviso Prévio Trabalhado e Reincidência do FGTS sobre Aviso Prévio Indenizado</t>
    </r>
  </si>
  <si>
    <t>ENTRADA PROVISORIA DE ENERGIA ELETRICA AEREA TRIFASICA 40A EM POSTE MADEIRA</t>
  </si>
  <si>
    <t>H</t>
  </si>
  <si>
    <t>FORMA TABUA PARA CONCRETO EM FUNDACAO C/ REAPROVEITAMENTO 5X</t>
  </si>
  <si>
    <t>SOLDA TOPO DESCENDENTE CHANFRADA ESPESSURA=1/4" CHAPA/PERFIL/TUBO ACO COM CONVERSOR DIESEL.</t>
  </si>
  <si>
    <t>72272</t>
  </si>
  <si>
    <t>CONECTOR PARAFUSO FENDIDO SPLIT-BOLT - PARA CABO DE 35MM2 - FORNECIMENTO E INSTALACAO</t>
  </si>
  <si>
    <t>CAIXA DE INSPEÇÃO 80X80X80CM EM ALVENARIA - EXECUÇÃO</t>
  </si>
  <si>
    <t>CARGA MANUAL DE ENTULHO EM CAMINHAO BASCULANTE 6 M3</t>
  </si>
  <si>
    <t>TRANSPORTE DE ENTULHO COM CAMINHAO BASCULANTE 6 M3, RODOVIA PAVIMENTADA, DMT 0,5 A 1,0 KM</t>
  </si>
  <si>
    <t>DEMOLICAO DE CONCRETO SIMPLES</t>
  </si>
  <si>
    <t>JATEAMENTO COM AREIA EM ESTRUTURA METALICA</t>
  </si>
  <si>
    <t>73768/3</t>
  </si>
  <si>
    <t>73795/12</t>
  </si>
  <si>
    <t>73795/9</t>
  </si>
  <si>
    <t>73802/1</t>
  </si>
  <si>
    <t>73834/1</t>
  </si>
  <si>
    <t>INSTALACAO DE CONJ.MOTO BOMBA SUBMERSIVEL ATE 10 CV</t>
  </si>
  <si>
    <t>73865/1</t>
  </si>
  <si>
    <t>73872/1</t>
  </si>
  <si>
    <t>74157/4</t>
  </si>
  <si>
    <t>LANCAMENTO/APLICACAO MANUAL DE CONCRETO EM FUNDACOES</t>
  </si>
  <si>
    <t>75029/1</t>
  </si>
  <si>
    <t>TUBO PVC CORRUGADO RIGIDO PERFURADO DN 150 PARA DRENAGEM - FORNECIMENTO E INSTALACAO</t>
  </si>
  <si>
    <t>PINTURA COM VERNIZ POLIURETANO, 2 DEMAOS</t>
  </si>
  <si>
    <t>83485</t>
  </si>
  <si>
    <t>HASTE DE ATERRAMENTO EM AÇO COM 3,00 M DE COMPRIMENTO E DN = 5/8" REVESTIDA COM BAIXA CAMADA DE COBRE, SEM CONECTOR</t>
  </si>
  <si>
    <t>BANCADA DE GRANITO CINZA POLIDO PARA PIA DE COZINHA 1,50 X 0,60 M - FORNECIMENTO E INSTALAÇÃO. AF_12/2013</t>
  </si>
  <si>
    <t>87298</t>
  </si>
  <si>
    <t>ARGAMASSA TRAÇO 1:3 (CIMENTO E AREIA MÉDIA) PARA CONTRAPISO, PREPARO MECÂNICO COM BETONEIRA 400 L. AF_06/2014</t>
  </si>
  <si>
    <t>MASSA ÚNICA, PARA RECEBIMENTO DE PINTURA, EM ARGAMASSA TRAÇO 1:2:8, PREPARO MECÂNICO COM BETONEIRA 400L, APLICADA MANUALMENTE EM FACES INTERNAS DE PAREDES, ESPESSURA DE 20MM, COM EXECUÇÃO DE TALISCAS. AF_06/2014</t>
  </si>
  <si>
    <t>L</t>
  </si>
  <si>
    <t>AUXILIAR DE ELETRICISTA COM ENCARGOS COMPLEMENTARES</t>
  </si>
  <si>
    <t>ELETRICISTA COM ENCARGOS COMPLEMENTARES</t>
  </si>
  <si>
    <t>88415</t>
  </si>
  <si>
    <t>APLICAÇÃO MANUAL DE FUNDO SELADOR ACRÍLICO EM PAREDES EXTERNAS DE CASAS. AF_06/2014</t>
  </si>
  <si>
    <t>APLICAÇÃO MANUAL DE PINTURA COM TINTA LÁTEX ACRÍLICA EM TETO, DUAS DEMÃOS. AF_06/2014</t>
  </si>
  <si>
    <t>88489</t>
  </si>
  <si>
    <t>APLICAÇÃO MANUAL DE PINTURA COM TINTA LÁTEX ACRÍLICA EM PAREDES, DUAS DEMÃOS. AF_06/2014</t>
  </si>
  <si>
    <t>CAIXA D´ÁGUA EM POLIETILENO, 1000 LITROS, COM ACESSÓRIOS</t>
  </si>
  <si>
    <t>LUVA DE CORRER, PVC, SOLDÁVEL, DN 25MM, INSTALADO EM RAMAL OU SUB-RAMAL DE ÁGUA - FORNECIMENTO E INSTALAÇÃO. AF_12/2014</t>
  </si>
  <si>
    <t>LUVA DE CORRER, PVC, SOLDÁVEL, DN 32MM, INSTALADO EM RAMAL OU SUB-RAMAL DE ÁGUA   FORNECIMENTO E INSTALAÇÃO. AF_12/2014</t>
  </si>
  <si>
    <t>89495</t>
  </si>
  <si>
    <t>RALO SIFONADO, PVC, DN 100 X 40 MM, JUNTA SOLDÁVEL, FORNECIDO E INSTALADO EM RAMAIS DE ENCAMINHAMENTO DE ÁGUA PLUVIAL. AF_12/2014</t>
  </si>
  <si>
    <t>LUVA DE CORRER, PVC, SOLDÁVEL, DN 50MM, INSTALADO EM PRUMADA DE ÁGUA - FORNECIMENTO E INSTALAÇÃO. AF_12/2014</t>
  </si>
  <si>
    <t>LUVA DE CORRER, PVC, SOLDÁVEL, DN 60MM, INSTALADO EM PRUMADA DE ÁGUA   FORNECIMENTO E INSTALAÇÃO. AF_12/2014</t>
  </si>
  <si>
    <t>89859</t>
  </si>
  <si>
    <t>LUVA DE CORRER, PVC, SERIE NORMAL, ESGOTO PREDIAL, DN 150 MM, JUNTA ELÁSTICA, FORNECIDO E INSTALADO EM SUBCOLETOR AÉREO DE ESGOTO SANITÁRIO. AF_12/2014</t>
  </si>
  <si>
    <t>TUBO DE PVC PARA REDE COLETORA DE ESGOTO DE PAREDE MACIÇA, DN 150 MM, JUNTA ELÁSTICA, INSTALADO EM LOCAL COM NÍVEL ALTO DE INTERFERÊNCIAS - FORNECIMENTO E ASSENTAMENTO. AF_06/2015</t>
  </si>
  <si>
    <t>90711</t>
  </si>
  <si>
    <t>TUBO DE PVC PARA REDE COLETORA DE ESGOTO DE PAREDE MACIÇA, DN 200 MM, JUNTA ELÁSTICA, INSTALADO EM LOCAL COM NÍVEL ALTO DE INTERFERÊNCIAS - FORNECIMENTO E ASSENTAMENTO. AF_06/2015</t>
  </si>
  <si>
    <t>91170</t>
  </si>
  <si>
    <t>FIXAÇÃO DE TUBOS HORIZONTAIS DE PVC, CPVC OU COBRE DIÂMETROS MENORES OU IGUAIS A 40 MM OU ELETROCALHAS ATÉ 150MM DE LARGURA, COM ABRAÇADEIRA METÁLICA RÍGIDA TIPO D 1/2, FIXADA EM PERFILADO EM LAJE. AF_05/2015</t>
  </si>
  <si>
    <t>91862</t>
  </si>
  <si>
    <t>ELETRODUTO RÍGIDO ROSCÁVEL, PVC, DN 20 MM (1/2"), PARA CIRCUITOS TERMINAIS, INSTALADO EM FORRO - FORNECIMENTO E INSTALAÇÃO. AF_12/2015</t>
  </si>
  <si>
    <t>91863</t>
  </si>
  <si>
    <t>ELETRODUTO RÍGIDO ROSCÁVEL, PVC, DN 25 MM (3/4"), PARA CIRCUITOS TERMINAIS, INSTALADO EM FORRO - FORNECIMENTO E INSTALAÇÃO. AF_12/2015</t>
  </si>
  <si>
    <t>91875</t>
  </si>
  <si>
    <t>LUVA PARA ELETRODUTO, PVC, ROSCÁVEL, DN 25 MM (3/4"), PARA CIRCUITOS TERMINAIS, INSTALADA EM FORRO - FORNECIMENTO E INSTALAÇÃO. AF_12/2015</t>
  </si>
  <si>
    <t>91876</t>
  </si>
  <si>
    <t>LUVA PARA ELETRODUTO, PVC, ROSCÁVEL, DN 32 MM (1"), PARA CIRCUITOS TERMINAIS, INSTALADA EM FORRO - FORNECIMENTO E INSTALAÇÃO. AF_12/2015</t>
  </si>
  <si>
    <t>91877</t>
  </si>
  <si>
    <t>LUVA PARA ELETRODUTO, PVC, ROSCÁVEL, DN 40 MM (1 1/4"), PARA CIRCUITOS TERMINAIS, INSTALADA EM FORRO - FORNECIMENTO E INSTALAÇÃO. AF_12/2015</t>
  </si>
  <si>
    <t>91905</t>
  </si>
  <si>
    <t>CURVA 90 GRAUS PARA ELETRODUTO, PVC, ROSCÁVEL, DN 32 MM (1"), PARA CIRCUITOS TERMINAIS, INSTALADA EM LAJE - FORNECIMENTO E INSTALAÇÃO. AF_12/2015</t>
  </si>
  <si>
    <t>91999</t>
  </si>
  <si>
    <t>92001</t>
  </si>
  <si>
    <t>TOMADA BAIXA DE EMBUTIR (1 MÓDULO), 2P+T 20 A, INCLUINDO SUPORTE E PLACA - FORNECIMENTO E INSTALAÇÃO. AF_12/2015</t>
  </si>
  <si>
    <t>92009</t>
  </si>
  <si>
    <t>TOMADA BAIXA DE EMBUTIR (2 MÓDULOS), 2P+T 20 A, INCLUINDO SUPORTE E PLACA - FORNECIMENTO E INSTALAÇÃO. AF_12/2015</t>
  </si>
  <si>
    <t>LANÇAMENTO COM USO DE BALDES, ADENSAMENTO E ACABAMENTO DE CONCRETO EM ESTRUTURAS. AF_12/2015</t>
  </si>
  <si>
    <t>93013</t>
  </si>
  <si>
    <t>LUVA PARA ELETRODUTO, PVC, ROSCÁVEL, DN 50 MM (1 1/2") - FORNECIMENTO E INSTALAÇÃO. AF_12/2015</t>
  </si>
  <si>
    <t>93016</t>
  </si>
  <si>
    <t>LUVA PARA ELETRODUTO, PVC, ROSCÁVEL, DN 85 MM (3") - FORNECIMENTO E INSTALAÇÃO. AF_12/2015</t>
  </si>
  <si>
    <t>93020</t>
  </si>
  <si>
    <t>CURVA 90 GRAUS PARA ELETRODUTO, PVC, ROSCÁVEL, DN 60 MM (2") - FORNECIMENTO E INSTALAÇÃO. AF_12/2015</t>
  </si>
  <si>
    <t>93144</t>
  </si>
  <si>
    <t>PONTO DE UTILIZAÇÃO DE EQUIPAMENTOS ELÉTRICOS, RESIDENCIAL, INCLUINDO SUPORTE E PLACA, CAIXA ELÉTRICA, ELETRODUTO, CABO, RASGO, QUEBRA E CHUMBAMENTO. AF_01/2016</t>
  </si>
  <si>
    <t>REGISTRO DE GAVETA BRUTO, LATÃO, ROSCÁVEL, 1, INSTALADO EM RESERVAÇÃO DE ÁGUA DE EDIFICAÇÃO QUE POSSUA RESERVATÓRIO DE FIBRA/FIBROCIMENTO  FORNECIMENTO E INSTALAÇÃO. AF_06/2016</t>
  </si>
  <si>
    <t>LUVA, PVC, SOLDÁVEL, DN 40 MM, INSTALADO EM RESERVAÇÃO DE ÁGUA DE EDIFICAÇÃO QUE POSSUA RESERVATÓRIO DE FIBRA/FIBROCIMENTO   FORNECIMENTO E INSTALAÇÃO. AF_06/2016</t>
  </si>
  <si>
    <t>CONCRETO FCK = 30MPA, TRAÇO 1:2,1:2,5 (CIMENTO/ AREIA MÉDIA/ BRITA 1)  - PREPARO MECÂNICO COM BETONEIRA 400 L. AF_07/2016</t>
  </si>
  <si>
    <t>LASTRO DE CONCRETO, E = 5 CM, PREPARO MECÂNICO, INCLUSOS LANÇAMENTO E ADENSAMENTO. AF_07_2016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</si>
  <si>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</si>
  <si>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</si>
  <si>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</si>
  <si>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95541</t>
  </si>
  <si>
    <t>FORRO EM DRYWALL, PARA AMBIENTES COMERCIAIS, INCLUSIVE ESTRUTURA DE FIXAÇÃO. AF_05/2017_P</t>
  </si>
  <si>
    <t>ACABAMENTOS PARA FORRO (MOLDURA EM DRYWALL, COM LARGURA DE 15 CM). AF_05/2017_P</t>
  </si>
  <si>
    <t>MASSA ACRÍLICA, APLICAÇÃO MANUAL EM PANOS COM PRESENÇA DE VÃOS DE EDIFÍCIOS DE MÚLTIPLOS PAVIMENTOS, DUAS DEMÃOS. AF_05/2017</t>
  </si>
  <si>
    <t>Enc. Sociais:</t>
  </si>
  <si>
    <t>BDI:</t>
  </si>
  <si>
    <r>
      <t xml:space="preserve">Endereço: </t>
    </r>
    <r>
      <rPr>
        <sz val="10"/>
        <rFont val="Arial"/>
        <family val="2"/>
      </rPr>
      <t>Av. José Tozze, no 2.220 - Centro</t>
    </r>
  </si>
  <si>
    <t>Prazo:</t>
  </si>
  <si>
    <t>06 meses</t>
  </si>
  <si>
    <t>COMPOSIÇÕES</t>
  </si>
  <si>
    <t>Tabela : ORC-LACOPE - SINAPI DESONERADA</t>
  </si>
  <si>
    <t xml:space="preserve">Mês :   </t>
  </si>
  <si>
    <t>Ano:</t>
  </si>
  <si>
    <t>Item:</t>
  </si>
  <si>
    <t>Serviço :</t>
  </si>
  <si>
    <t>Comp - 01</t>
  </si>
  <si>
    <t>Descrição :</t>
  </si>
  <si>
    <t>Administração Local da Obra</t>
  </si>
  <si>
    <t>Unidade :</t>
  </si>
  <si>
    <t>Un</t>
  </si>
  <si>
    <t>MÃO DE OBRA</t>
  </si>
  <si>
    <t>Unid</t>
  </si>
  <si>
    <t>Código</t>
  </si>
  <si>
    <t>Coefic.</t>
  </si>
  <si>
    <t>C. Prod.</t>
  </si>
  <si>
    <t>Pr. Prod.</t>
  </si>
  <si>
    <t>Pr. Unit. Improd.</t>
  </si>
  <si>
    <t>Pr. Unit.</t>
  </si>
  <si>
    <t>Subtotal</t>
  </si>
  <si>
    <t>MÊS</t>
  </si>
  <si>
    <t>SubTotal:</t>
  </si>
  <si>
    <t>MATERIAL</t>
  </si>
  <si>
    <t>EQUIPAMENTO</t>
  </si>
  <si>
    <t>RESUMO</t>
  </si>
  <si>
    <t>DISCRIMINAÇÃO</t>
  </si>
  <si>
    <t>TAXA(%)</t>
  </si>
  <si>
    <t>VALORES</t>
  </si>
  <si>
    <t>Mão-de-Obra(A)</t>
  </si>
  <si>
    <t>Materiais(B)</t>
  </si>
  <si>
    <t>Equipamentos(C)</t>
  </si>
  <si>
    <t>Produção da Equipe(D)</t>
  </si>
  <si>
    <t>Custo Horário Total(A+C)</t>
  </si>
  <si>
    <t>Custo Unitário da Execução[(A/D)+(C/D)] = E</t>
  </si>
  <si>
    <t>Custo Direto Total(B+E)</t>
  </si>
  <si>
    <t>Bonificações e Despesas Indiretas - BDI</t>
  </si>
  <si>
    <t>CUSTO UNITÁRIO (Adotado)</t>
  </si>
  <si>
    <t>Comp - 02</t>
  </si>
  <si>
    <t>Rede de água com padrão de entrada d'água diâm. 3/4", conf. espec. CESAN, incl. tubos e conexões para alimentação, distribuição, extravasor e limpeza, cons. o padrão a 25m, conf. projeto (1 utilização)</t>
  </si>
  <si>
    <t>ENCANADOR OU BOMBEIRO HIDRAULICO</t>
  </si>
  <si>
    <t>AUXILIAR DE ENCANADOR OU BOMBEIRO HIDRAULICO</t>
  </si>
  <si>
    <t xml:space="preserve">ADAPTADOR PVC SOLD.FLANGES LIVRES P/CX.AGUA 25MM  </t>
  </si>
  <si>
    <t xml:space="preserve">ADAPTADOR PVC SOLD.FLANGES LIVRES P/CX.AGUA 32MM  </t>
  </si>
  <si>
    <t xml:space="preserve">ADAPTADOR PVC SOLDAVEL PARA REGISTRO 32MM X 1"  </t>
  </si>
  <si>
    <t xml:space="preserve">TUBO DE PVC SOLDAVEL DE 25MM  </t>
  </si>
  <si>
    <t xml:space="preserve">TUBO DE PVC SOLDAVEL DE 32MM  </t>
  </si>
  <si>
    <t xml:space="preserve">JOELHO 90 DE PVC SOLDAVEL DE 25MM  </t>
  </si>
  <si>
    <t xml:space="preserve">JOELHO 90 DE PVC SOLDAVEL DE 32MM  </t>
  </si>
  <si>
    <t xml:space="preserve">TE DE PVC SOLDAVEL DE 32MM  </t>
  </si>
  <si>
    <t xml:space="preserve">LUVA DE PVC SOLDAVEL DE 25MM  </t>
  </si>
  <si>
    <t xml:space="preserve">REGISTRO DE GAVETA BRUTO 1"  </t>
  </si>
  <si>
    <t xml:space="preserve">TORNEIRA DE PRESSAO CROMADA DE USO GERAL 1/2'  </t>
  </si>
  <si>
    <t xml:space="preserve">FITA DE VEDACAO 18MM X 50M  </t>
  </si>
  <si>
    <t>ADESIVO PARA TUBO DE PVC RIGIDO COM 175G</t>
  </si>
  <si>
    <t>SOLUCAO LIMPADORA PARA PVC RIGIDO 1000CM3</t>
  </si>
  <si>
    <t xml:space="preserve">TORNEIRA DE BOIA EM LATAO(BOIA PLAST)DN 20MM (3/4)  </t>
  </si>
  <si>
    <t xml:space="preserve">CAVALETE PARA PADRAO DE ENTRADA D=3/4"  </t>
  </si>
  <si>
    <t>6.1.1</t>
  </si>
  <si>
    <t>Comp - 03</t>
  </si>
  <si>
    <t>PAINEL TERMICO EM CHAPA PRE-PINTADA NA COR BRANCA, C/ACABAMENTO LISO, ISOLAMENTO TERMICO POLIESTIRENO "F", ESP 50MM, FORNECIMENTO E INSTALAÇÃO</t>
  </si>
  <si>
    <t>Comp - 04</t>
  </si>
  <si>
    <t>PORTA METALICA ACUSTICA,46DB,NAS DIMENSOES DE 900X2100MM, INCLUSIVE FECHADURA ESPECIAL COM CHAVE,MOLDURA EM CANTONEIRA DE ACO. FORNECIMENTO E COLOCACAO (P1D e P1E)</t>
  </si>
  <si>
    <t>7.2.2</t>
  </si>
  <si>
    <t>Comp - 05</t>
  </si>
  <si>
    <t>PORTA METALICA ACUSTICA,46DB,NAS DIMENSOES DE 800X2100MM, INCLUSIVE FECHADURA ESPECIAL COM CHAVE,MOLDURA EM CANTONEIRA DE ACO. FORNECIMENTO E COLOCACAO (P2)</t>
  </si>
  <si>
    <t>Comp - 06</t>
  </si>
  <si>
    <t>REVESTIMENTO DE FACHADA OU AREAS INTERNAS C/PAINEL DE ALUM. COMPOSTO,SENDO DUAS LAMINAS DE ALUM.C/0,21MM ESP.,PINTURA EMSUPERPOLIESTER,NO SISTEMA COIL COATING,ESP.DO COMPOSTO DE4MM,PINTURA PROTEGIDA POR FILME HAVY DUTY NAS FACES PINTADAS,NUCLEO EM POLIETILENO DE BAIXA DENSIDADE (RIGIDO), INCL.SUBESTRUTURA ALUM.E DEMAIS INSUMOS NECES.A COLOC.FORN.E COLOC.</t>
  </si>
  <si>
    <t>10.8</t>
  </si>
  <si>
    <t>Comp - 08</t>
  </si>
  <si>
    <t>Comp - 09</t>
  </si>
  <si>
    <t>SINAPI</t>
  </si>
  <si>
    <t>Volume de Escavação - Volume de Concreto Sapatas e Cintas</t>
  </si>
  <si>
    <r>
      <t>Terreo -</t>
    </r>
    <r>
      <rPr>
        <sz val="10"/>
        <rFont val="Arial"/>
        <family val="2"/>
      </rPr>
      <t xml:space="preserve"> 16 sapatas</t>
    </r>
  </si>
  <si>
    <t>Volume de Carga Manual de Entulho</t>
  </si>
  <si>
    <r>
      <rPr>
        <sz val="10"/>
        <rFont val="Arial"/>
        <family val="2"/>
      </rPr>
      <t>ENGENHEIRO CIVIL JUNIOR (MENSALISTA)</t>
    </r>
  </si>
  <si>
    <r>
      <rPr>
        <sz val="10"/>
        <rFont val="Arial"/>
        <family val="2"/>
      </rPr>
      <t>ALMOXARIFE (MENSALISTA)</t>
    </r>
  </si>
  <si>
    <r>
      <rPr>
        <sz val="10"/>
        <rFont val="Arial"/>
        <family val="2"/>
      </rPr>
      <t>ENCARREGADO GERAL DE OBRAS (MENSALISTA)</t>
    </r>
  </si>
  <si>
    <t>4.1.7</t>
  </si>
  <si>
    <t>Estrut. metálica p/ pilares e vigas, aço estrutural ASTM A-570 G33 e ASTM A-36 c/ o sistema de trat. e pint conf descrito em notas da planilha</t>
  </si>
  <si>
    <t>Comp - 10</t>
  </si>
  <si>
    <t>PERFIL "I" DE ACO LAMINADO, "W" 410 X 67</t>
  </si>
  <si>
    <t>FUNDO PREPARADOR PRIMER A BASE DE EPOXI, PARA ESTRUTURA METALICA, UMA DEMAO, ESPESSURA DE 25 MICRA. (equiv. Para tres demãos)</t>
  </si>
  <si>
    <t>Código
SINAPI</t>
  </si>
  <si>
    <t>PP2 0,80 x 210</t>
  </si>
  <si>
    <t>PORTA METALICA ACUSTICA,46DB,NAS DIMENSOES DE 800X2100MM,INCLUSIVE FECHADURA ESPECIAL COM CHAVE,MOLDURA EM CANTONEIRA DEACO.FORNECIMENTO E COLOCACAO</t>
  </si>
  <si>
    <t>Acessórios para Fixação</t>
  </si>
  <si>
    <t>DIVISORIA EM GRANITO BRANCO POLIDO, ESP = 3CM, ASSENTADO COM ARGAMASSA TRACO 1:4, ARREMATE EM CIMENTO BRANCO.</t>
  </si>
  <si>
    <t>PINGADEIRA EM CHAPA DE AÇO GALVANIZADO NÚMERO 24, CORTE DE 25 CM, INCLUSO TRANSPORTE VERTICAL. AF_06/2016</t>
  </si>
  <si>
    <t>PINGADEIRA EM CHAPA DE AÇO GALVANIZADO NÚMERO 24, CORTE DE 25 CM, INCLUSO TRANSPORTE VERTICAL. AF_06/2016 (Equiv. Ao RUFO)</t>
  </si>
  <si>
    <t>Substituido por Lona Plastica Impermeabilizante</t>
  </si>
  <si>
    <t>Laje de Cobertura do Hall da Escada de acesso (compriemnto + 0,50m para cada lado subindo na platibanda)</t>
  </si>
  <si>
    <t>Vestiário Feminino</t>
  </si>
  <si>
    <t>Vestiário Masculino</t>
  </si>
  <si>
    <t>WC-PNE</t>
  </si>
  <si>
    <t>FACHADA CONSTRUÇÃO EXISTENTE</t>
  </si>
  <si>
    <t>FACHADA AMPLIAÇÃO (DEDUÇÃO 5XJ3 + P4 = (5x1,12x1,94 + 1,80x2,10)</t>
  </si>
  <si>
    <t>FACHADA AMPLIAÇÃO</t>
  </si>
  <si>
    <t>RODAPÉ POLIETILENO COM QUINA BOLEADA SEÇÃO 2X7 cm, COR BRANCA, REF. 446 RP/BR, SANTA LUZIA, OU SIMILAR</t>
  </si>
  <si>
    <t>Ded Porta</t>
  </si>
  <si>
    <t>RODAPÉ POLIETILENO COM QUINA BOLEADA SEÇÃO 2X7 cm, COR BRANCA, REF. 446 RP/BR, SANTA LUZIA, OU SIMILAR (EQUIVALENTE AO RODAPE BORRACHA LISO, ALTURA = 7CM, ESPESSURA = 2 MM, PARA ARGAMASSA - SINAPI)</t>
  </si>
  <si>
    <t>11.1.8</t>
  </si>
  <si>
    <t>RODAPÉ EM GRANITO COR CINZA CORUMBÁ,COM QUINA BOLEADA - 10 X 2 CM OU SIMILAR (EQUIVALENTE AO RODAPE EM MARMORE BRANCO ASSENTADO COM ARGAMASSA TRACO 1:4 (CIMENTO E AREIA) ALTURA 7CM - SINAPI)</t>
  </si>
  <si>
    <t>SOLEIRA GRANITO CINZA ANDORINHA ESP=2CM,L=15CM (EQUIVALENTE A SOLEIRA DE MARMORE BRANCO, LARGURA 15CM, ESPESSURA 3CM, ASSENTADA SOBRE ARGAMASSA TRACO 1:4 (CIMENTO E AREIA))</t>
  </si>
  <si>
    <t>Área externa proximo Caixa Dágua</t>
  </si>
  <si>
    <t>Comp - 11</t>
  </si>
  <si>
    <t>Acesso Principal Terro</t>
  </si>
  <si>
    <t>Aceeso pelo terreo / corredor principal</t>
  </si>
  <si>
    <t>REVESTIMENTO DE FACHADA OU AREAS INTERNAS C/PAINEL DE ALUM. COMPOSTO,SENDO DUAS LAMINAS DE ALUM.C/0,21MM ESP.,PINTURA EMSUPERPOLIESTER,NO SISTEMA COIL COATING,ESP.DO COMPOSTO DE4MM,PINTURA PROTEGIDA POR FILME HAVY DUTY NAS FACES PINTADAS,NUCLEO EM POLIETILENO DE BAIXA DENSIDADE (RIGIDO), INCL.SUBESTRUTURA ALUM.E DEMAIS INSUMOS NECES.A COLOC.FORN.E COLOC. (Serviço terceirizado)</t>
  </si>
  <si>
    <t>4791</t>
  </si>
  <si>
    <t>ADESIVO ACRILICO/COLA DE CONTATO</t>
  </si>
  <si>
    <t>21,67</t>
  </si>
  <si>
    <t>PEDREIRO COM EMCARGOS COMPLEMENTARES</t>
  </si>
  <si>
    <t>SERVENTE COM EMCARGOS COMPLEMENTARES</t>
  </si>
  <si>
    <t>SERRALHEIRO COM EMCARGOS COMPLEMENTARES</t>
  </si>
  <si>
    <t>ENGENHEIRO CIVIL JUNIOR (MENSALISTA) COM EMCARGOS COMPLEMENTARES</t>
  </si>
  <si>
    <t>ALMOXARIFE (MENSALISTA) COM EMCARGOS COMPLEMENTARES</t>
  </si>
  <si>
    <t>ENCARREGADO GERAL DE OBRAS (MENSALISTA) COM EMCARGOS COMPLEMENTARES</t>
  </si>
  <si>
    <t>PISO TATIL DE ALERTA OU DIRECIONAL, DE BORRACHA, COLORIDO, 25 X 25 CM, E = 5 MM, PARA COLA</t>
  </si>
  <si>
    <t>PISO TATIL ALERTA OU DIRECIONAL, DE BORRACHA, COLORIDO, 25 X 25 CM, E = 12 MM, PARA ARGAMASSA</t>
  </si>
  <si>
    <t>Àrea do Forro</t>
  </si>
  <si>
    <t>10.9</t>
  </si>
  <si>
    <t>10.10</t>
  </si>
  <si>
    <t>Terreo - Perímetro do Muro + piso intertravado</t>
  </si>
  <si>
    <t>Torneira para cozinha de mesa bica móvel Diz, código 1167.C37, DECA, ou equivalente</t>
  </si>
  <si>
    <t>FIXAÇÃO UTILIZANDO PARAFUSO E BUCHA DE NYLON, SOMENTE MÃO DE OBRA. AF_10/2016 (BARRA DE APOIO)</t>
  </si>
  <si>
    <t>Comp - 12</t>
  </si>
  <si>
    <t>17.5.2</t>
  </si>
  <si>
    <t>ELETROCALHA STANDARD PERFURADA S/ TAMPA 150X50MM - CH16</t>
  </si>
  <si>
    <t>ELETROCALHA STANDARD PERFURADA S/ TAMPA 150X50MM - CH16 (LABOR)</t>
  </si>
  <si>
    <t>Comp - 13</t>
  </si>
  <si>
    <t>17.5.3</t>
  </si>
  <si>
    <t>Eletrocalha perfurada em chapa de aço galvanizado nº16, 300x100mm, sem tampa</t>
  </si>
  <si>
    <t>ELETROC CH16 PERFURADA 300X100MM S/TAMPA (LABOR)</t>
  </si>
  <si>
    <t>Comp - 14</t>
  </si>
  <si>
    <t>17.5.4</t>
  </si>
  <si>
    <t>CURVA HORIZONTAL 90º PERFURADA 300X100MM - CH16 (LABOR)</t>
  </si>
  <si>
    <t>FIXAÇÃO UTILIZANDO PARAFUSO E BUCHA DE NYLON, SOMENTE MÃO DE OBRA. AF_10/2016 (ELETROCALHAS)</t>
  </si>
  <si>
    <t>TOMADA BAIXA DE EMBUTIR (1 MÓDULO), 2P+T 20 A, SEM SUPORTE E SEM PLACA - FORNECIMENTO E INSTALAÇÃO. AF_12/2015 (EQUIVALENTE A SOBREPOR)</t>
  </si>
  <si>
    <t>Comp - 15</t>
  </si>
  <si>
    <t>Instalação - Serviço Terceirizado)</t>
  </si>
  <si>
    <t>Comp - 16</t>
  </si>
  <si>
    <t>Comp - 17</t>
  </si>
  <si>
    <t>Cabo par trançado CAT 5E ( EQUIVALENTE AO CABO TELEFONICO CI-50 10 PARES (USO INTERNO) - FORNECIMENTO E INSTALACAO)</t>
  </si>
  <si>
    <t>BOMBA SUBMERSA PARA POCOS TUBULARES PROFUNDOS DIAMETRO DE 4 POLEGADAS, ELETRICA, TRIFASICA, POTENCIA 5,42 HP, 15 ESTAGIOS, BOCAL DE DESCARGA DIAMETRO DE 2 POLEGADAS, HM/Q = 18 M / 18,10 M3/H A 121 M / 2,90 M3/H</t>
  </si>
  <si>
    <t>Comp - 18</t>
  </si>
  <si>
    <t>TOMADA RJ45, 8 FIOS, CAT 5E (APENAS MODULO)</t>
  </si>
  <si>
    <t>TOMADA RJ45 PARA PATCH CABLE</t>
  </si>
  <si>
    <t>Comp - 19</t>
  </si>
  <si>
    <t>Comp - 20</t>
  </si>
  <si>
    <t>19.11</t>
  </si>
  <si>
    <t>PATCH CABLE DE 2,50M</t>
  </si>
  <si>
    <t>19.12</t>
  </si>
  <si>
    <t>TOMADA RJ45, 8 FIOS, CAT 5E</t>
  </si>
  <si>
    <t>Tributos (PIS+COFINS+ISS)</t>
  </si>
  <si>
    <t>Dedução das portas</t>
  </si>
  <si>
    <t>CONCRETAGEM CONTRABARRANCO (SEM FORMA) - Utilização de Lona Plástica</t>
  </si>
  <si>
    <t>Acrescimo de 5cm p/ cada lado p/ montagem de forma, e 5cm na altura de escvação para lastro de conc. Magro.</t>
  </si>
  <si>
    <t>CP x CC x 03Fases</t>
  </si>
  <si>
    <t>Quant. Comodos/média de pontos (QCP)</t>
  </si>
  <si>
    <t>Quantidade de circuitos (QCirc)</t>
  </si>
  <si>
    <t>Quantidade de cabos por Comodo (QCC) - (11 metros)</t>
  </si>
  <si>
    <t>Qcirc x DMC x 03Fases</t>
  </si>
  <si>
    <t>Cabo 2,5mm</t>
  </si>
  <si>
    <t>Distância média entre circuitos (31metros (menor distância x Maior Distância)) (DMC) (36 metros)</t>
  </si>
  <si>
    <t>2.6</t>
  </si>
  <si>
    <t>Laje piso térreo para passagem de cintas.</t>
  </si>
  <si>
    <t>m3</t>
  </si>
  <si>
    <t>(Volume de Escavação - Volume de Reaterro + Demolições) com Empolamento 25%</t>
  </si>
  <si>
    <t>Comp - 23</t>
  </si>
  <si>
    <t>TAMPAO FOFO SIMPLES COM BASE, CLASSE A15 CARGA MAX 1,5 T, 400 X 400 MM, REDE PLUVIAL/ESGOTO/ELETRICA</t>
  </si>
  <si>
    <t>Placa de sinalização de segurança CODIGO 14 - 315/158(NBR 13.434); CÓDIGO S3(NT 14/2010-ES) ("SAIDA DE EMERGÊNCIA" - seta vertical)</t>
  </si>
  <si>
    <t>Ponto para iluminação de emergência completo, inclusive bloco autônomo de iluminação 2x9W com tomada universal</t>
  </si>
  <si>
    <t>Comp - 24</t>
  </si>
  <si>
    <t>und</t>
  </si>
  <si>
    <t>BUCHA DE NYLON SEM ABA S10, COM PARAFUSO DE 6,10 X 65 MM EM ACO ZINCADO COM ROSCA SOBERBA, CABECA CHATA E FENDA PHILLIPS</t>
  </si>
  <si>
    <t>PLACA SINAL SEG COD 13-315/158;COD S2 NT14/2010-ES (LABOR)</t>
  </si>
  <si>
    <t>ELETRODUTO DE PVC RIGIDO ROSCAVEL DE 3/4 ", SEM LUVA</t>
  </si>
  <si>
    <t>CABO DE COBRE, FLEXIVEL, CLASSE 4 OU 5, ISOLACAO EM PVC/A, ANTICHAMA BWF-B, COBERTURA PVC-ST1, ANTICHAMA BWF-B, 1 CONDUTOR, 0,6/1 KV, SECAO NOMINAL 2,5 MM2</t>
  </si>
  <si>
    <t>CAIXA DE LUZ "4 X 2" EM ACO ESMALTADA</t>
  </si>
  <si>
    <t>BLOCO AUT. ILUM. EMERG. P/ ACLARAMENTO E/OU BALIZAMENTO 2X9W - AUT. 2 HORAS (LABOR)</t>
  </si>
  <si>
    <t>BUCHA DE ALUMINIO FUNDIDO 3/4" (LABOR)</t>
  </si>
  <si>
    <t>ARRUELA DE ALUMINIO FUNDIDO 3/4" (LABOR)</t>
  </si>
  <si>
    <t>Auditório / Cozinha-Refeitório</t>
  </si>
  <si>
    <t>HP250X62</t>
  </si>
  <si>
    <t>W530X74</t>
  </si>
  <si>
    <t>W530X101</t>
  </si>
  <si>
    <t>W530X82</t>
  </si>
  <si>
    <t>W250X22,30</t>
  </si>
  <si>
    <t>W310X52</t>
  </si>
  <si>
    <t>W410X67</t>
  </si>
  <si>
    <t>62kg/m</t>
  </si>
  <si>
    <t>74kg/m</t>
  </si>
  <si>
    <t>101kg/m</t>
  </si>
  <si>
    <t>82kg/m</t>
  </si>
  <si>
    <t>22,30kg/m</t>
  </si>
  <si>
    <t>52kg/m</t>
  </si>
  <si>
    <t>67kg/m</t>
  </si>
  <si>
    <t xml:space="preserve">C 250X85X25X3.04 </t>
  </si>
  <si>
    <t>25kg/m</t>
  </si>
  <si>
    <t>W200X35,9</t>
  </si>
  <si>
    <t>35,90KG/M</t>
  </si>
  <si>
    <t>W310X44,50</t>
  </si>
  <si>
    <t>44,50kg/m</t>
  </si>
  <si>
    <t>75kg/m</t>
  </si>
  <si>
    <t>W410x75</t>
  </si>
  <si>
    <t>W360X39</t>
  </si>
  <si>
    <t>39kg/m</t>
  </si>
  <si>
    <t>W360X44,6</t>
  </si>
  <si>
    <t>44,60kg/m</t>
  </si>
  <si>
    <t>W250X17,9</t>
  </si>
  <si>
    <t>17,90kg/m</t>
  </si>
  <si>
    <t>W150X18,0</t>
  </si>
  <si>
    <t xml:space="preserve">CHAPA #1/2'' </t>
  </si>
  <si>
    <t>CH.LISA#1/8''</t>
  </si>
  <si>
    <t>PL-W200X35,9</t>
  </si>
  <si>
    <t>35,9kg/m</t>
  </si>
  <si>
    <t>18kg/m</t>
  </si>
  <si>
    <t>99,61kg/m2</t>
  </si>
  <si>
    <t>25kg/m2</t>
  </si>
  <si>
    <t>PORTA METALICA ACUSTICA,46DB,NAS DIMENSOES DE 900X2100MM,INCLUSIVE FECHADURA ESPECIAL COM CHAVE,MOLDURA EM CANTONEIRA DEACO.FORNECIMENTO E COLOCACAO (P1D e P1E)</t>
  </si>
  <si>
    <t>PORTA METALICA ACUSTICA,46DB,NAS DIMENSOES DE 800X2100MM, INCLUSIVE FECHADURA ESPECIAL COM CHAVE,MOLDURA EM CANTONEIRA DEACO. FORNECIMENTO E COLOCACAO (P2)</t>
  </si>
  <si>
    <t>RV 09.40.0050 (/)</t>
  </si>
  <si>
    <t>SCO-RIO</t>
  </si>
  <si>
    <t>Bulltrade Industria Ltda</t>
  </si>
  <si>
    <t>Empresa</t>
  </si>
  <si>
    <t>Painel Termoacustico (m2)</t>
  </si>
  <si>
    <t>Contato - Telefone</t>
  </si>
  <si>
    <t>Preço</t>
  </si>
  <si>
    <t>Simone - (51) 3587-3666</t>
  </si>
  <si>
    <t>Panisol S/A</t>
  </si>
  <si>
    <t>Cláudio - (11) 3285-4111</t>
  </si>
  <si>
    <t>Amplitude Soluções Acusticas</t>
  </si>
  <si>
    <t>xxxxxx - (41)3379-2258</t>
  </si>
  <si>
    <t>Vibrason</t>
  </si>
  <si>
    <t>Vanessa - (11) 4393-7900</t>
  </si>
  <si>
    <t>Printsign</t>
  </si>
  <si>
    <t>Edison - (27) 99923-7094</t>
  </si>
  <si>
    <t>REVESTIMENTO DE FACHADA OU AREAS INTERNAS C/PAINEL DE ALUM. COMPOSTO (m2)</t>
  </si>
  <si>
    <t>20.2</t>
  </si>
  <si>
    <t>Exaustor axial de parede, com diametro de 300mm, da True ou similar. Fornecimento e instalacao.(desonerado)</t>
  </si>
  <si>
    <t>AP 09.25.0025 (/)</t>
  </si>
  <si>
    <t>Exaustor axial de parede, com diametro de 300mm,</t>
  </si>
  <si>
    <t>Veneziana para exaustor de fabricacao da Fundicao Aurea ou similar. Fornecimento e instalacao.(desonerado)</t>
  </si>
  <si>
    <t>ES 34.05.0450 (/)</t>
  </si>
  <si>
    <t>Elevador especial para cadeira de rodas, capacidade de 210Kg, velocidade 15m/min, 2 paradas, percurso de 6,60m, comando automatico simples em todas as paradas, com 2 portas por andar, abertura do mesmo lado tipo eixo vertical, dimensoes de (0,80x2,00)m, portas em chapa com acabamento primer para pintura (exclusive esta), cabina com dimensoes de (0,90x1,30x2,05)m em estrutura metalica, acabamento do piso em chapa de aco 3/16" revestida em borracha sintetica, teto e acabamentos laterais com painel em chapa de aco com pintura eletrostatica na cor bege, iluminacao da cabina com luminaria fluorescente, porta da cabina pantografica manual em aluminio anodizado, guias em perfil "T" laminado, contrapeso em blocos de ferro fundido, com maquina superior, moto-freio e redutor de rosca sem fim, auxiliado por contrapeso, modelo EL-2913 da montele ou similar. Fornecimento, montagem e instalacao.(desonerado)</t>
  </si>
  <si>
    <t>AP 19.05.0050 (/)</t>
  </si>
  <si>
    <r>
      <t xml:space="preserve">PAPELEIRA PLASTICA TIPO DISPENSER PARA PAPEL HIGIENICO ROLAO </t>
    </r>
    <r>
      <rPr>
        <b/>
        <sz val="10"/>
        <rFont val="Arial"/>
        <family val="2"/>
      </rPr>
      <t>(EQUIVALENTE A SABONETEIRA PLASTICA)</t>
    </r>
  </si>
  <si>
    <r>
      <t xml:space="preserve">TOALHEIRO PLASTICO TIPO DISPENSER PARA PAPEL TOALHA INTERFOLHADO </t>
    </r>
    <r>
      <rPr>
        <b/>
        <sz val="10"/>
        <rFont val="Arial"/>
        <family val="2"/>
      </rPr>
      <t>(EQUIVALENTE A SABONETEIRA PLASTICA)</t>
    </r>
  </si>
  <si>
    <t>Veneziana vertical (brise soleil) de chapa de aluminio, com 1,2mm de espessura, aparafusadas e medida pela area colocada. Fornecimento e colocacao.(desonerado)</t>
  </si>
  <si>
    <t>Ste Ar Condicionado</t>
  </si>
  <si>
    <t>Rodrigo - (27) 3763-2975</t>
  </si>
  <si>
    <t>Instalação de Ar Condicionado 12.000BTU's</t>
  </si>
  <si>
    <t>Instalação de Ar Condicionado 18.000BTU's</t>
  </si>
  <si>
    <t>Instalação de Ar Condicionado 36.000BTU's</t>
  </si>
  <si>
    <t>Duar Frio r ondicionado</t>
  </si>
  <si>
    <t>Rafael - (27) 99779-7750</t>
  </si>
  <si>
    <t>Linfrio</t>
  </si>
  <si>
    <t>Renata - (27) 3264-3040</t>
  </si>
  <si>
    <t>Porta Metálica Acustica 46dB 90x210 (und)</t>
  </si>
  <si>
    <t>Porta Metálica Acustica 46dB 80x210 (und)</t>
  </si>
  <si>
    <t>Frete</t>
  </si>
  <si>
    <t>CUSTO UNITÁRIO (Adotado) por 100</t>
  </si>
  <si>
    <t>Fachada Externa do 2o Pavto</t>
  </si>
  <si>
    <t>brise</t>
  </si>
  <si>
    <t>não cotou</t>
  </si>
  <si>
    <t xml:space="preserve">PAINEL TERMICO EM CHAPA PRE-PINTADA NA COR BRANCA/AZUL, C/ACABAMENTO LISO, ISOLAMENTO TERMICO POLIESTIRENO "F", ESP 50MM, FORNECIMENTO E INSTALAÇÃO </t>
  </si>
  <si>
    <t>ELEVADOR DE PASSAGEIROS</t>
  </si>
  <si>
    <t>REVISÃO DE MURO EXISTENTE</t>
  </si>
  <si>
    <t>DEMOLICAO DE REVESTIMENTO DE ARGAMASSA DE CAL E AREIA (REBOCO)</t>
  </si>
  <si>
    <t>Comp - 25</t>
  </si>
  <si>
    <t>REMOVEDOR DE TINTA OLEO/ESMALTE VERNIZ</t>
  </si>
  <si>
    <t xml:space="preserve">L     </t>
  </si>
  <si>
    <t>24.1</t>
  </si>
  <si>
    <t>24.2</t>
  </si>
  <si>
    <t>24.3</t>
  </si>
  <si>
    <t>24.4</t>
  </si>
  <si>
    <t>24.5</t>
  </si>
  <si>
    <t>24.6</t>
  </si>
  <si>
    <t>Comp - 25 - 10218 iopes</t>
  </si>
  <si>
    <t>Remoção de pintura antiga a óleo ou esmalte</t>
  </si>
  <si>
    <t>Remoção de pintura antiga a óleo ou esmalte (Gradil)</t>
  </si>
  <si>
    <t>Chapisco de aderência em paredes internas, externas, vigas, platibanda e calhas</t>
  </si>
  <si>
    <t>Gradil</t>
  </si>
  <si>
    <t>24.7</t>
  </si>
  <si>
    <t>24.8</t>
  </si>
  <si>
    <t>24.9</t>
  </si>
  <si>
    <r>
      <rPr>
        <sz val="10"/>
        <rFont val="Arial"/>
        <family val="2"/>
      </rPr>
      <t>87878</t>
    </r>
  </si>
  <si>
    <r>
      <rPr>
        <sz val="10"/>
        <rFont val="Arial"/>
        <family val="2"/>
      </rPr>
      <t>Chapisco de aderência em paredes internas, externas, vigas, platibanda e calhas</t>
    </r>
  </si>
  <si>
    <t>Demolição Reboco (empolamento 30%)</t>
  </si>
  <si>
    <t>LOGOMARCA</t>
  </si>
  <si>
    <t>Confecção de Letreiro com 30cm de altura caixa - Unidade de Saude de São Mateus e Logomarca Brasao da Prefeitura em Aço Inox Escovado</t>
  </si>
  <si>
    <t>Orc.</t>
  </si>
  <si>
    <t>Mercado</t>
  </si>
  <si>
    <t>REVISÃO DE MURO EXISTEM</t>
  </si>
  <si>
    <r>
      <t>Obra</t>
    </r>
    <r>
      <rPr>
        <sz val="11"/>
        <color theme="1"/>
        <rFont val="Calibri"/>
        <family val="2"/>
        <scheme val="minor"/>
      </rPr>
      <t>: Refroma e Ampliação da Unidade de Saude 3</t>
    </r>
  </si>
  <si>
    <t>REFORMA E AMPLIAÇÃO DA UNIDADE DE SAÚDE 3</t>
  </si>
  <si>
    <t>1.1.1</t>
  </si>
  <si>
    <t>1.2.1</t>
  </si>
  <si>
    <t>1.2.2</t>
  </si>
  <si>
    <t>1.2.3</t>
  </si>
  <si>
    <t>1.2.4</t>
  </si>
  <si>
    <t>1.2.5</t>
  </si>
  <si>
    <t>1.2.6</t>
  </si>
  <si>
    <t>1.3.1</t>
  </si>
  <si>
    <t>1.3.1.1</t>
  </si>
  <si>
    <t>1.3.1.2</t>
  </si>
  <si>
    <r>
      <rPr>
        <sz val="10"/>
        <rFont val="Arial"/>
        <family val="2"/>
      </rPr>
      <t>1.3.1.3</t>
    </r>
    <r>
      <rPr>
        <sz val="11"/>
        <color theme="1"/>
        <rFont val="Calibri"/>
        <family val="2"/>
        <scheme val="minor"/>
      </rPr>
      <t/>
    </r>
  </si>
  <si>
    <t>1.3.1.4</t>
  </si>
  <si>
    <t>1.4</t>
  </si>
  <si>
    <t>1.4.1</t>
  </si>
  <si>
    <t>1.4.1.1</t>
  </si>
  <si>
    <r>
      <rPr>
        <sz val="10"/>
        <rFont val="Arial"/>
        <family val="2"/>
      </rPr>
      <t>1.4.1.2</t>
    </r>
    <r>
      <rPr>
        <sz val="11"/>
        <color theme="1"/>
        <rFont val="Calibri"/>
        <family val="2"/>
        <scheme val="minor"/>
      </rPr>
      <t/>
    </r>
  </si>
  <si>
    <r>
      <rPr>
        <sz val="10"/>
        <rFont val="Arial"/>
        <family val="2"/>
      </rPr>
      <t>1.4.1.3</t>
    </r>
    <r>
      <rPr>
        <sz val="11"/>
        <color theme="1"/>
        <rFont val="Calibri"/>
        <family val="2"/>
        <scheme val="minor"/>
      </rPr>
      <t/>
    </r>
  </si>
  <si>
    <r>
      <rPr>
        <sz val="10"/>
        <rFont val="Arial"/>
        <family val="2"/>
      </rPr>
      <t>1.4.1.4</t>
    </r>
    <r>
      <rPr>
        <sz val="11"/>
        <color theme="1"/>
        <rFont val="Calibri"/>
        <family val="2"/>
        <scheme val="minor"/>
      </rPr>
      <t/>
    </r>
  </si>
  <si>
    <r>
      <rPr>
        <sz val="10"/>
        <rFont val="Arial"/>
        <family val="2"/>
      </rPr>
      <t>1.4.1.5</t>
    </r>
    <r>
      <rPr>
        <sz val="11"/>
        <color theme="1"/>
        <rFont val="Calibri"/>
        <family val="2"/>
        <scheme val="minor"/>
      </rPr>
      <t/>
    </r>
  </si>
  <si>
    <r>
      <rPr>
        <sz val="10"/>
        <rFont val="Arial"/>
        <family val="2"/>
      </rPr>
      <t>1.4.1.6</t>
    </r>
    <r>
      <rPr>
        <sz val="11"/>
        <color theme="1"/>
        <rFont val="Calibri"/>
        <family val="2"/>
        <scheme val="minor"/>
      </rPr>
      <t/>
    </r>
  </si>
  <si>
    <r>
      <rPr>
        <sz val="10"/>
        <rFont val="Arial"/>
        <family val="2"/>
      </rPr>
      <t>1.4.1.7</t>
    </r>
    <r>
      <rPr>
        <sz val="11"/>
        <color theme="1"/>
        <rFont val="Calibri"/>
        <family val="2"/>
        <scheme val="minor"/>
      </rPr>
      <t/>
    </r>
  </si>
  <si>
    <t>1.5</t>
  </si>
  <si>
    <t>1.5.1</t>
  </si>
  <si>
    <t>1.5.1.1</t>
  </si>
  <si>
    <t>1.5.2</t>
  </si>
  <si>
    <t>1.5.2.1</t>
  </si>
  <si>
    <t>1.5.2.2</t>
  </si>
  <si>
    <t>1.6</t>
  </si>
  <si>
    <t>1.6.1</t>
  </si>
  <si>
    <t>1.6.1.1</t>
  </si>
  <si>
    <t>1.6.1.2</t>
  </si>
  <si>
    <t>1.7</t>
  </si>
  <si>
    <t>1.7.1</t>
  </si>
  <si>
    <t>1.7.1.1</t>
  </si>
  <si>
    <t>1.7.2</t>
  </si>
  <si>
    <t>1.7.2.1</t>
  </si>
  <si>
    <t>1.7.2.2</t>
  </si>
  <si>
    <t>1.7.3</t>
  </si>
  <si>
    <t>1.7.3.1</t>
  </si>
  <si>
    <t>1.7.4</t>
  </si>
  <si>
    <t>1.7.4.1</t>
  </si>
  <si>
    <t>1.7.4.2</t>
  </si>
  <si>
    <t>1.7.4.3</t>
  </si>
  <si>
    <t>1.7.4.4</t>
  </si>
  <si>
    <t>1.8</t>
  </si>
  <si>
    <t>1.8.1</t>
  </si>
  <si>
    <t>1.8.2</t>
  </si>
  <si>
    <t>1.8.3</t>
  </si>
  <si>
    <t>1.8.4</t>
  </si>
  <si>
    <t>1.8.5</t>
  </si>
  <si>
    <t>1.9</t>
  </si>
  <si>
    <t>1.9.1</t>
  </si>
  <si>
    <t>1.9.2</t>
  </si>
  <si>
    <t>1.10</t>
  </si>
  <si>
    <t>1.10.1</t>
  </si>
  <si>
    <t>1.10.2</t>
  </si>
  <si>
    <t>1.10.3</t>
  </si>
  <si>
    <t>1.10.4</t>
  </si>
  <si>
    <t>1.10.5</t>
  </si>
  <si>
    <t>1.10.6</t>
  </si>
  <si>
    <t>1.10.7</t>
  </si>
  <si>
    <t>1.10.8</t>
  </si>
  <si>
    <t>1.10.9</t>
  </si>
  <si>
    <t>1.10.10</t>
  </si>
  <si>
    <t>1.11</t>
  </si>
  <si>
    <t>1.11.1</t>
  </si>
  <si>
    <t>1.11.2</t>
  </si>
  <si>
    <t>1.11.3</t>
  </si>
  <si>
    <t>1.11.4</t>
  </si>
  <si>
    <t>1.11.5</t>
  </si>
  <si>
    <t>1.11.6</t>
  </si>
  <si>
    <t>1.11.7</t>
  </si>
  <si>
    <t>1.11.8</t>
  </si>
  <si>
    <t>1.11.2.1</t>
  </si>
  <si>
    <t>1.11.2.2</t>
  </si>
  <si>
    <t>1.11.2.3</t>
  </si>
  <si>
    <t>1.11.2.4</t>
  </si>
  <si>
    <t>1.11.2.5</t>
  </si>
  <si>
    <t>1.12</t>
  </si>
  <si>
    <t>1.12.1</t>
  </si>
  <si>
    <t>1.12.1.1</t>
  </si>
  <si>
    <t>1.12.1.2</t>
  </si>
  <si>
    <t>1.12.1.3</t>
  </si>
  <si>
    <t>1.12.1.4</t>
  </si>
  <si>
    <t>1.12.1.5</t>
  </si>
  <si>
    <t>1.12.1.6</t>
  </si>
  <si>
    <t>1.12.1.7</t>
  </si>
  <si>
    <t>1.12.1.8</t>
  </si>
  <si>
    <t>1.12.1.9</t>
  </si>
  <si>
    <t>1.12.1.10</t>
  </si>
  <si>
    <t>1.12.1.11</t>
  </si>
  <si>
    <t>1.12.1.12</t>
  </si>
  <si>
    <t>1.12.1.13</t>
  </si>
  <si>
    <t>1.12.1.14</t>
  </si>
  <si>
    <t>1.12.1.15</t>
  </si>
  <si>
    <t>1.12.1.16</t>
  </si>
  <si>
    <t>1.12.1.17</t>
  </si>
  <si>
    <t>1.12.1.18</t>
  </si>
  <si>
    <t>1.12.1.19</t>
  </si>
  <si>
    <t>1.12.1.20</t>
  </si>
  <si>
    <t>1.12.1.21</t>
  </si>
  <si>
    <t>1.12.1.22</t>
  </si>
  <si>
    <t>1.12.1.23</t>
  </si>
  <si>
    <t>1.12.1.24</t>
  </si>
  <si>
    <t>1.12.1.25</t>
  </si>
  <si>
    <t>1.12.1.26</t>
  </si>
  <si>
    <t>1.12.1.27</t>
  </si>
  <si>
    <t>1.12.1.28</t>
  </si>
  <si>
    <t>1.12.1.29</t>
  </si>
  <si>
    <t>1.12.1.30</t>
  </si>
  <si>
    <t>1.12.1.31</t>
  </si>
  <si>
    <t>1.12.2</t>
  </si>
  <si>
    <t>1.12.2.1</t>
  </si>
  <si>
    <t>1.12.2.2</t>
  </si>
  <si>
    <t>1.12.2.3</t>
  </si>
  <si>
    <t>1.12.2.4</t>
  </si>
  <si>
    <t>1.12.2.5</t>
  </si>
  <si>
    <t>1.12.2.6</t>
  </si>
  <si>
    <t>1.12.2.7</t>
  </si>
  <si>
    <t>1.12.2.8</t>
  </si>
  <si>
    <t>1.12.3</t>
  </si>
  <si>
    <t>1.12.3.1</t>
  </si>
  <si>
    <t>1.13</t>
  </si>
  <si>
    <t>1.13.1</t>
  </si>
  <si>
    <t>1.13.2</t>
  </si>
  <si>
    <t>1.13.3</t>
  </si>
  <si>
    <t>1.13.4</t>
  </si>
  <si>
    <t>1.13.5</t>
  </si>
  <si>
    <t>1.13.6</t>
  </si>
  <si>
    <t>1.13.7</t>
  </si>
  <si>
    <t>1.13.8</t>
  </si>
  <si>
    <t>1.13.9</t>
  </si>
  <si>
    <t>1.14</t>
  </si>
  <si>
    <t>1.14.1</t>
  </si>
  <si>
    <t>1.14.2</t>
  </si>
  <si>
    <t>1.14.3</t>
  </si>
  <si>
    <t>1.14.4</t>
  </si>
  <si>
    <t>1.14.5</t>
  </si>
  <si>
    <t>1.14.6</t>
  </si>
  <si>
    <t>1.14.7</t>
  </si>
  <si>
    <t>1.14.8</t>
  </si>
  <si>
    <t>1.14.9</t>
  </si>
  <si>
    <t>1.14.10</t>
  </si>
  <si>
    <t>1.14.11</t>
  </si>
  <si>
    <t>1.14.12</t>
  </si>
  <si>
    <t>1.14.13</t>
  </si>
  <si>
    <t>1.14.14</t>
  </si>
  <si>
    <t>1.14.15</t>
  </si>
  <si>
    <t>1.14.16</t>
  </si>
  <si>
    <t>1.14.17</t>
  </si>
  <si>
    <t>1.14.18</t>
  </si>
  <si>
    <t>1.14.19</t>
  </si>
  <si>
    <t>1.14.20</t>
  </si>
  <si>
    <t>1.14.21</t>
  </si>
  <si>
    <t>1.14.22</t>
  </si>
  <si>
    <t>1.14.23</t>
  </si>
  <si>
    <t>1.14.24</t>
  </si>
  <si>
    <t>1.14.25</t>
  </si>
  <si>
    <t>1.15</t>
  </si>
  <si>
    <t>1.15.1</t>
  </si>
  <si>
    <t>1.15.1.1</t>
  </si>
  <si>
    <t>1.15.2</t>
  </si>
  <si>
    <t>1.15.2.1</t>
  </si>
  <si>
    <t>1.15.2.2</t>
  </si>
  <si>
    <t>1.15.2.3</t>
  </si>
  <si>
    <t>1.15.2.4</t>
  </si>
  <si>
    <t>1.15.2.5</t>
  </si>
  <si>
    <t>1.15.2.6</t>
  </si>
  <si>
    <t>1.15.3</t>
  </si>
  <si>
    <t>1.15.3.1</t>
  </si>
  <si>
    <t>1.15.3.2</t>
  </si>
  <si>
    <t>1.15.3.3</t>
  </si>
  <si>
    <t>1.15.3.4</t>
  </si>
  <si>
    <t>1.15.3.5</t>
  </si>
  <si>
    <t>1.15.3.6</t>
  </si>
  <si>
    <t>1.15.4</t>
  </si>
  <si>
    <t>1.15.4.1</t>
  </si>
  <si>
    <t>1.15.4.2</t>
  </si>
  <si>
    <t>1.15.4.3</t>
  </si>
  <si>
    <t>1.16</t>
  </si>
  <si>
    <t>1.16.1</t>
  </si>
  <si>
    <t>1.16.2</t>
  </si>
  <si>
    <t>1.16.3</t>
  </si>
  <si>
    <t>1.16.4</t>
  </si>
  <si>
    <t>1.16.5</t>
  </si>
  <si>
    <t>1.16.6</t>
  </si>
  <si>
    <t>1.16.7</t>
  </si>
  <si>
    <t>1.16.8</t>
  </si>
  <si>
    <t>1.16.9</t>
  </si>
  <si>
    <t>1.16.10</t>
  </si>
  <si>
    <t>1.17</t>
  </si>
  <si>
    <t>1.17.1</t>
  </si>
  <si>
    <t>1.17.1.1</t>
  </si>
  <si>
    <t>1.17.1.2</t>
  </si>
  <si>
    <t>1.17.2</t>
  </si>
  <si>
    <t>1.17.2.1</t>
  </si>
  <si>
    <t>1.17.2.2</t>
  </si>
  <si>
    <t>1.17.2.3</t>
  </si>
  <si>
    <t>1.17.2.4</t>
  </si>
  <si>
    <t>1.17.2.5</t>
  </si>
  <si>
    <t>1.17.2.6</t>
  </si>
  <si>
    <t>1.17.2.7</t>
  </si>
  <si>
    <t>1.17.2.8</t>
  </si>
  <si>
    <t>1.17.2.9</t>
  </si>
  <si>
    <t>1.17.2.10</t>
  </si>
  <si>
    <t>1.17.3</t>
  </si>
  <si>
    <t>1.17.3.1</t>
  </si>
  <si>
    <t>1.17.3.2</t>
  </si>
  <si>
    <t>1.17.3.3</t>
  </si>
  <si>
    <t>1.17.3.4</t>
  </si>
  <si>
    <t>1.17.3.5</t>
  </si>
  <si>
    <t>1.17.3.6</t>
  </si>
  <si>
    <t>1.17.3.7</t>
  </si>
  <si>
    <t>1.17.3.8</t>
  </si>
  <si>
    <t>1.17.3.9</t>
  </si>
  <si>
    <t>1.17.3.10</t>
  </si>
  <si>
    <t>1.17.3.11</t>
  </si>
  <si>
    <t>1.17.4</t>
  </si>
  <si>
    <t>1.17.4.1</t>
  </si>
  <si>
    <t>1.17.4.2</t>
  </si>
  <si>
    <t>1.17.4.3</t>
  </si>
  <si>
    <t>1.17.5</t>
  </si>
  <si>
    <t>1.17.5.1</t>
  </si>
  <si>
    <t>1.17.5.2</t>
  </si>
  <si>
    <t>1.17.5.3</t>
  </si>
  <si>
    <t>1.17.5.4</t>
  </si>
  <si>
    <t>1.17.5.5</t>
  </si>
  <si>
    <t>1.17.5.6</t>
  </si>
  <si>
    <t>1.17.5.7</t>
  </si>
  <si>
    <t>1.17.6</t>
  </si>
  <si>
    <t>1.17.6.1</t>
  </si>
  <si>
    <t>1.17.6.2</t>
  </si>
  <si>
    <t>1.17.6.3</t>
  </si>
  <si>
    <t>1.17.6.4</t>
  </si>
  <si>
    <t>1.17.6.5</t>
  </si>
  <si>
    <t>1.17.6.6</t>
  </si>
  <si>
    <t>1.17.6.7</t>
  </si>
  <si>
    <t>1.17.6.8</t>
  </si>
  <si>
    <t>1.17.7</t>
  </si>
  <si>
    <t>1.17.7.1</t>
  </si>
  <si>
    <t>1.17.7.2</t>
  </si>
  <si>
    <t>1.17.7.3</t>
  </si>
  <si>
    <t>1.17.7.4</t>
  </si>
  <si>
    <t>1.18</t>
  </si>
  <si>
    <t>1.18.1</t>
  </si>
  <si>
    <t>1.18.2</t>
  </si>
  <si>
    <t>1.18.3</t>
  </si>
  <si>
    <t>1.19</t>
  </si>
  <si>
    <t>1.19.1</t>
  </si>
  <si>
    <t>1.19.2</t>
  </si>
  <si>
    <t>1.19.3</t>
  </si>
  <si>
    <t>1.19.4</t>
  </si>
  <si>
    <t>1.19.5</t>
  </si>
  <si>
    <t>1.19.6</t>
  </si>
  <si>
    <t>1.19.7</t>
  </si>
  <si>
    <t>1.19.8</t>
  </si>
  <si>
    <t>1.19.9</t>
  </si>
  <si>
    <t>1.19.10</t>
  </si>
  <si>
    <t>1.19.11</t>
  </si>
  <si>
    <t>1.19.12</t>
  </si>
  <si>
    <t>1.19.13</t>
  </si>
  <si>
    <t>1.20</t>
  </si>
  <si>
    <t>1.20.1</t>
  </si>
  <si>
    <t>1.20.2</t>
  </si>
  <si>
    <t>1.21</t>
  </si>
  <si>
    <t>1.21.1</t>
  </si>
  <si>
    <t>1.21.2</t>
  </si>
  <si>
    <t>1.21.3</t>
  </si>
  <si>
    <t>1.21.4</t>
  </si>
  <si>
    <t>1.21.5</t>
  </si>
  <si>
    <t>1.21.6</t>
  </si>
  <si>
    <t>1.21.7</t>
  </si>
  <si>
    <t>1.22</t>
  </si>
  <si>
    <t>1.22.1</t>
  </si>
  <si>
    <t>1.22.1.1</t>
  </si>
  <si>
    <t>1.23</t>
  </si>
  <si>
    <t>1.23.1</t>
  </si>
  <si>
    <t>1.24</t>
  </si>
  <si>
    <t>1.24.1</t>
  </si>
  <si>
    <t>1.24.2</t>
  </si>
  <si>
    <t>1.24.3</t>
  </si>
  <si>
    <t>1.24.4</t>
  </si>
  <si>
    <t>1.24.5</t>
  </si>
  <si>
    <t>1.24.6</t>
  </si>
  <si>
    <t>1.24.7</t>
  </si>
  <si>
    <t>1.24.8</t>
  </si>
  <si>
    <t>1.24.9</t>
  </si>
  <si>
    <t>1.25</t>
  </si>
  <si>
    <t>1.25.1</t>
  </si>
  <si>
    <t>VALOR TOTAL DA AMPLIAÇÃO</t>
  </si>
  <si>
    <r>
      <rPr>
        <b/>
        <sz val="10"/>
        <rFont val="Calibri"/>
        <family val="2"/>
        <scheme val="minor"/>
      </rPr>
      <t>SERVIÇOS FINAIS</t>
    </r>
  </si>
  <si>
    <t>MICRO EXAUSTOR,INCLUSIVE VENEZIANAS,ADAPTADOR E TUBO FLEXIVEL,PARA AMBIENTES ATE 7M3.FORNECIMENTO E COLOCACAO (PARA USO EM BANHEIRO)</t>
  </si>
  <si>
    <r>
      <rPr>
        <b/>
        <sz val="10"/>
        <rFont val="Calibri"/>
        <family val="2"/>
        <scheme val="minor"/>
      </rPr>
      <t>SISTEMA DE EXAUSTÃO MECÂNICA</t>
    </r>
  </si>
  <si>
    <r>
      <rPr>
        <sz val="10"/>
        <rFont val="Arial"/>
        <family val="2"/>
      </rPr>
      <t>LUMINÁRIA FLUORESCENTE COMPLETA (1 X 14)W</t>
    </r>
  </si>
  <si>
    <r>
      <rPr>
        <b/>
        <sz val="10"/>
        <rFont val="Calibri"/>
        <family val="2"/>
        <scheme val="minor"/>
      </rPr>
      <t>ILUMINAÇÃO</t>
    </r>
  </si>
  <si>
    <t>160,63</t>
  </si>
  <si>
    <t>21,83</t>
  </si>
  <si>
    <t>32,49</t>
  </si>
  <si>
    <t>TOMADA BAIXA DE EMBUTIR (2 MÓDULOS), 2P+T 10 A, INCLUINDO SUPORTE E PLACA - FORNECIMENTO E INSTALAÇÃO. AF_12/2015</t>
  </si>
  <si>
    <t>13.5.4</t>
  </si>
  <si>
    <t>20,29</t>
  </si>
  <si>
    <t>TOMADA BAIXA DE EMBUTIR (1 MÓDULO), 2P+T 10 A, INCLUINDO SUPORTE E PLACA - FORNECIMENTO E INSTALAÇÃO. AF_12/2015</t>
  </si>
  <si>
    <t>13.5.3</t>
  </si>
  <si>
    <t>13.5.2</t>
  </si>
  <si>
    <r>
      <rPr>
        <b/>
        <sz val="10"/>
        <rFont val="Calibri"/>
        <family val="2"/>
        <scheme val="minor"/>
      </rPr>
      <t>TOMADAS E INTERRUPTORES</t>
    </r>
  </si>
  <si>
    <r>
      <rPr>
        <sz val="10"/>
        <rFont val="Arial"/>
        <family val="2"/>
      </rPr>
      <t>Curva horizontal 90º para eletrocalha metálica, 300x100mm, galvanizada, ref. MEGA MG 2510</t>
    </r>
  </si>
  <si>
    <r>
      <rPr>
        <sz val="10"/>
        <rFont val="Arial"/>
        <family val="2"/>
      </rPr>
      <t>Eletrocalha perfurada em chapa de aço galvanizado nº16, 300x100mm, sem tampa</t>
    </r>
  </si>
  <si>
    <t>Comp - 07</t>
  </si>
  <si>
    <r>
      <rPr>
        <sz val="10"/>
        <rFont val="Arial"/>
        <family val="2"/>
      </rPr>
      <t>ELETROCALHA STANDARD PERFURADA S/ TAMPA 150X50MM - CH16</t>
    </r>
  </si>
  <si>
    <r>
      <rPr>
        <b/>
        <sz val="10"/>
        <rFont val="Calibri"/>
        <family val="2"/>
        <scheme val="minor"/>
      </rPr>
      <t>ELETROCALHAS</t>
    </r>
  </si>
  <si>
    <r>
      <rPr>
        <b/>
        <sz val="10"/>
        <rFont val="Calibri"/>
        <family val="2"/>
        <scheme val="minor"/>
      </rPr>
      <t>CABOS E FIOS (CONDUTORES)</t>
    </r>
  </si>
  <si>
    <t>7,49</t>
  </si>
  <si>
    <t>CAIXA RETANGULAR 4" X 2" BAIXA (0,30 M DO PISO), PVC, INSTALADA EM PAREDE - FORNECIMENTO E INSTALAÇÃO. AF_12/2015</t>
  </si>
  <si>
    <t>35,20</t>
  </si>
  <si>
    <t>LUVA PARA ELETRODUTO, PVC, ROSCÁVEL, DN 110 MM (4") - FORNECIMENTO E INSTALAÇÃO. AF_12/2015</t>
  </si>
  <si>
    <t>9,77</t>
  </si>
  <si>
    <t>LUVA PARA ELETRODUTO, PVC, ROSCÁVEL, DN 40 MM (1 1/4"), PARA CIRCUITOS TERMINAIS, INSTALADA EM PAREDE - FORNECIMENTO E INSTALAÇÃO. AF_12/2015</t>
  </si>
  <si>
    <t>8,13</t>
  </si>
  <si>
    <t>LUVA PARA ELETRODUTO, PVC, ROSCÁVEL, DN 32 MM (1"), PARA CIRCUITOS TERMINAIS, INSTALADA EM PAREDE - FORNECIMENTO E INSTALAÇÃO. AF_12/2015</t>
  </si>
  <si>
    <t>6,91</t>
  </si>
  <si>
    <t>LUVA PARA ELETRODUTO, PVC, ROSCÁVEL, DN 25 MM (3/4"), PARA CIRCUITOS TERMINAIS, INSTALADA EM PAREDE - FORNECIMENTO E INSTALAÇÃO. AF_12/2015</t>
  </si>
  <si>
    <r>
      <rPr>
        <b/>
        <sz val="10"/>
        <rFont val="Calibri"/>
        <family val="2"/>
        <scheme val="minor"/>
      </rPr>
      <t>ELETRODUTOS E ACESSÓRIOS</t>
    </r>
  </si>
  <si>
    <r>
      <rPr>
        <sz val="10"/>
        <rFont val="Arial"/>
        <family val="2"/>
      </rPr>
      <t>DISJUNTOR TRIPOLAR EM QUADRO DE DISTRIBUIÇÃO 32A</t>
    </r>
  </si>
  <si>
    <r>
      <rPr>
        <sz val="10"/>
        <rFont val="Arial"/>
        <family val="2"/>
      </rPr>
      <t>DISJUNTOR MONOPOLAR EM QUADRO DE DISTRIBUIÇÃO 16A</t>
    </r>
  </si>
  <si>
    <r>
      <rPr>
        <sz val="10"/>
        <rFont val="Arial"/>
        <family val="2"/>
      </rPr>
      <t>DISJUNTOR TRIPOLAR EM QUADRO DE DISTRIBUIÇÃO 16A</t>
    </r>
  </si>
  <si>
    <r>
      <rPr>
        <b/>
        <sz val="10"/>
        <rFont val="Calibri"/>
        <family val="2"/>
        <scheme val="minor"/>
      </rPr>
      <t>DISJUNTORES</t>
    </r>
  </si>
  <si>
    <t>13.1</t>
  </si>
  <si>
    <r>
      <rPr>
        <b/>
        <sz val="10"/>
        <rFont val="Calibri"/>
        <family val="2"/>
        <scheme val="minor"/>
      </rPr>
      <t>CENTRO DE DISTRIBUIÇÃO</t>
    </r>
  </si>
  <si>
    <r>
      <rPr>
        <b/>
        <sz val="10"/>
        <rFont val="Calibri"/>
        <family val="2"/>
        <scheme val="minor"/>
      </rPr>
      <t>INSTALAÇÕES ELÉTRICAS - 220V</t>
    </r>
  </si>
  <si>
    <t>TOALHEIRO PLASTICO TIPO DISPENSER PARA PAPEL TOALHA INTERFOLHADO (EQUIVALENTE A SABONETEIRA PLASTICA)</t>
  </si>
  <si>
    <t>PAPELEIRA PLASTICA TIPO DISPENSER PARA PAPEL HIGIENICO ROLAO (EQUIVALENTE A SABONETEIRA PLASTICA)</t>
  </si>
  <si>
    <r>
      <rPr>
        <b/>
        <sz val="10"/>
        <rFont val="Calibri"/>
        <family val="2"/>
        <scheme val="minor"/>
      </rPr>
      <t>ACESSÓRIOS</t>
    </r>
  </si>
  <si>
    <t>27,60</t>
  </si>
  <si>
    <r>
      <rPr>
        <sz val="10"/>
        <rFont val="Arial"/>
        <family val="2"/>
      </rPr>
      <t>Torneira de parede de uso geral para jardim ou tanque</t>
    </r>
  </si>
  <si>
    <r>
      <rPr>
        <sz val="10"/>
        <rFont val="Arial"/>
        <family val="2"/>
      </rPr>
      <t>86916</t>
    </r>
  </si>
  <si>
    <t>FIXAÇÃO UTILIZANDO PARAFUSO E BUCHA DE NYLON, SOMENTE MÃO DE OBRA. AF_10/2016 (BARRA DE APOIO 06 fix. cada)</t>
  </si>
  <si>
    <r>
      <rPr>
        <b/>
        <sz val="10"/>
        <rFont val="Calibri"/>
        <family val="2"/>
        <scheme val="minor"/>
      </rPr>
      <t>METAIS</t>
    </r>
  </si>
  <si>
    <t>589,54</t>
  </si>
  <si>
    <r>
      <rPr>
        <sz val="10"/>
        <rFont val="Arial"/>
        <family val="2"/>
      </rPr>
      <t>Tanque Grande (40 L) cor Branco Gelo, código TQ.03, DECA, ou equivalente incluso torneira cromada</t>
    </r>
  </si>
  <si>
    <r>
      <rPr>
        <sz val="10"/>
        <rFont val="Arial"/>
        <family val="2"/>
      </rPr>
      <t>86919</t>
    </r>
  </si>
  <si>
    <t>VASO SANITARIO SIFONADO CONVENCIONAL PARA PCD SEM FURO FRONTAL COM LOUÇA BRANCA SEM ASSENTO, INCLUSO CONJUNTO DE LIGAÇÃO PARA BACIA SANITÁRIA AJUSTÁVEL - FORNECIMENTO E INSTALAÇÃO. AF_10/2016</t>
  </si>
  <si>
    <t>152,27</t>
  </si>
  <si>
    <t>VASO SANITARIO SIFONADO CONVENCIONAL COM  LOUÇA BRANCA - FORNECIMENTO E INSTALAÇÃO. AF_10/2016</t>
  </si>
  <si>
    <t>95469</t>
  </si>
  <si>
    <r>
      <rPr>
        <b/>
        <sz val="10"/>
        <rFont val="Calibri"/>
        <family val="2"/>
        <scheme val="minor"/>
      </rPr>
      <t>LOUÇAS</t>
    </r>
  </si>
  <si>
    <r>
      <rPr>
        <sz val="10"/>
        <rFont val="Arial"/>
        <family val="2"/>
      </rPr>
      <t>BANCADA DE GRANITO CINZA ANDORINHA E=2CM,</t>
    </r>
  </si>
  <si>
    <t xml:space="preserve">Comp - </t>
  </si>
  <si>
    <r>
      <rPr>
        <b/>
        <sz val="10"/>
        <rFont val="Calibri"/>
        <family val="2"/>
        <scheme val="minor"/>
      </rPr>
      <t>BANCADAS</t>
    </r>
  </si>
  <si>
    <r>
      <rPr>
        <b/>
        <sz val="10"/>
        <rFont val="Calibri"/>
        <family val="2"/>
        <scheme val="minor"/>
      </rPr>
      <t>BANCADAS, LOUÇAS, METAIS E COMPLEMENTOS</t>
    </r>
  </si>
  <si>
    <t>CAIXA DE INSPECAO EM ANEL DE CONCRETO PRE MOLDADO, COM 950MM DE ALTURA TOTAL. ANEIS COM ESP=50MM, DIAM.=600MM. EXCLUSIVE TAMPAO E ESCAVACAO - FORNECIMENTO E INSTALACAO</t>
  </si>
  <si>
    <t>74166/2</t>
  </si>
  <si>
    <r>
      <rPr>
        <b/>
        <sz val="10"/>
        <rFont val="Calibri"/>
        <family val="2"/>
        <scheme val="minor"/>
      </rPr>
      <t>INSTALAÇÃO SANITÁRIA</t>
    </r>
  </si>
  <si>
    <t>REGISTRO DE ESFERA, PVC, ROSCÁVEL, 3/4", FORNECIDO E INSTALADO EM RAMAL DE ÁGUA. AF_03/2015</t>
  </si>
  <si>
    <r>
      <rPr>
        <sz val="10"/>
        <rFont val="Arial"/>
        <family val="2"/>
      </rPr>
      <t>REGISTRO DE GAVETA BRUTO D= 40mm (1 1/2")</t>
    </r>
  </si>
  <si>
    <r>
      <rPr>
        <sz val="10"/>
        <rFont val="Arial"/>
        <family val="2"/>
      </rPr>
      <t>94497</t>
    </r>
  </si>
  <si>
    <r>
      <rPr>
        <sz val="10"/>
        <rFont val="Arial"/>
        <family val="2"/>
      </rPr>
      <t>REGISTRO DE GAVETA BRUTO D= 25mm (1")</t>
    </r>
  </si>
  <si>
    <r>
      <rPr>
        <sz val="10"/>
        <rFont val="Arial"/>
        <family val="2"/>
      </rPr>
      <t>REGISTRO DE GAVETA BRUTO D= 20mm (3/4")</t>
    </r>
  </si>
  <si>
    <r>
      <rPr>
        <b/>
        <sz val="10"/>
        <rFont val="Calibri"/>
        <family val="2"/>
        <scheme val="minor"/>
      </rPr>
      <t>TUBULAÇÕES E CONEXÕES - METAIS</t>
    </r>
  </si>
  <si>
    <r>
      <rPr>
        <sz val="10"/>
        <rFont val="Arial"/>
        <family val="2"/>
      </rPr>
      <t>LUVA PVC SOLD. MARROM D= 40mm (1 1/4")</t>
    </r>
  </si>
  <si>
    <r>
      <rPr>
        <sz val="10"/>
        <rFont val="Arial"/>
        <family val="2"/>
      </rPr>
      <t>89564</t>
    </r>
  </si>
  <si>
    <r>
      <rPr>
        <sz val="10"/>
        <rFont val="Arial"/>
        <family val="2"/>
      </rPr>
      <t>LUVA PVC SOLD. MARROM D= 60mm (2")</t>
    </r>
  </si>
  <si>
    <r>
      <rPr>
        <sz val="10"/>
        <rFont val="Arial"/>
        <family val="2"/>
      </rPr>
      <t>89598</t>
    </r>
  </si>
  <si>
    <r>
      <rPr>
        <sz val="10"/>
        <rFont val="Arial"/>
        <family val="2"/>
      </rPr>
      <t>LUVA PVC SOLD. MARROM D= 50mm (1 1/2")</t>
    </r>
  </si>
  <si>
    <r>
      <rPr>
        <sz val="10"/>
        <rFont val="Arial"/>
        <family val="2"/>
      </rPr>
      <t>89577</t>
    </r>
  </si>
  <si>
    <r>
      <rPr>
        <sz val="10"/>
        <rFont val="Arial"/>
        <family val="2"/>
      </rPr>
      <t>LUVA PVC SOLD. MARROM D= 32mm (1")</t>
    </r>
  </si>
  <si>
    <r>
      <rPr>
        <sz val="10"/>
        <rFont val="Arial"/>
        <family val="2"/>
      </rPr>
      <t>89432</t>
    </r>
  </si>
  <si>
    <r>
      <rPr>
        <sz val="10"/>
        <rFont val="Arial"/>
        <family val="2"/>
      </rPr>
      <t>LUVA PVC SOLD. MARROM D= 25mm (3/4")</t>
    </r>
  </si>
  <si>
    <r>
      <rPr>
        <sz val="10"/>
        <rFont val="Arial"/>
        <family val="2"/>
      </rPr>
      <t>89379</t>
    </r>
  </si>
  <si>
    <r>
      <rPr>
        <b/>
        <sz val="10"/>
        <rFont val="Calibri"/>
        <family val="2"/>
        <scheme val="minor"/>
      </rPr>
      <t>TUBULAÇÕES E CONEXÕES DE PVC RÍGIDO</t>
    </r>
  </si>
  <si>
    <r>
      <rPr>
        <b/>
        <sz val="10"/>
        <rFont val="Calibri"/>
        <family val="2"/>
        <scheme val="minor"/>
      </rPr>
      <t>INSTALAÇÃO HIDRÁULICA</t>
    </r>
  </si>
  <si>
    <t>PINTURA ESMALTE ACETINADO PARA MADEIRA, DUAS DEMAOS, SOBRE FUNDO NIVELADOR BRANCO</t>
  </si>
  <si>
    <t>74065/2</t>
  </si>
  <si>
    <t>APLICAÇÃO DE FUNDO SELADOR LÁTEX PVA EM TETO, UMA DEMÃO. AF_06/2014</t>
  </si>
  <si>
    <t>APLICAÇÃO E LIXAMENTO DE MASSA LÁTEX EM TETO, DUAS DEMÃOS. AF_06/2014</t>
  </si>
  <si>
    <t>88496</t>
  </si>
  <si>
    <t>APLICAÇÃO E LIXAMENTO DE MASSA LÁTEX EM PAREDES, DUAS DEMÃOS. AF_06/2014</t>
  </si>
  <si>
    <t>88497</t>
  </si>
  <si>
    <r>
      <rPr>
        <b/>
        <sz val="10"/>
        <rFont val="Calibri"/>
        <family val="2"/>
        <scheme val="minor"/>
      </rPr>
      <t>PINTURA</t>
    </r>
  </si>
  <si>
    <t>7.1.8</t>
  </si>
  <si>
    <t>7.1.7</t>
  </si>
  <si>
    <t>RODAPÉ CERÂMICO DE 7CM DE ALTURA COM PLACAS TIPO ESMALTADA COMERCIAL DE DIMENSÕES 35X35CM (PADRAO POPULAR). AF_06/2017</t>
  </si>
  <si>
    <t>96467</t>
  </si>
  <si>
    <t>7.1.6</t>
  </si>
  <si>
    <t>7.1.5</t>
  </si>
  <si>
    <t>PISO VINILICO SEMIFLEXIVEL PADRAO LISO, ESPESSURA 2MM, FIXADO COM COLA</t>
  </si>
  <si>
    <t>7.1.4</t>
  </si>
  <si>
    <t>7.1.3</t>
  </si>
  <si>
    <r>
      <rPr>
        <sz val="10"/>
        <rFont val="Arial"/>
        <family val="2"/>
      </rPr>
      <t>Piso cimentado desempenado com acabamento liso e=3,0cm com junta plastica acabada 1,2m</t>
    </r>
  </si>
  <si>
    <t>73922/5</t>
  </si>
  <si>
    <t>7.1.2</t>
  </si>
  <si>
    <r>
      <rPr>
        <sz val="10"/>
        <rFont val="Arial"/>
        <family val="2"/>
      </rPr>
      <t xml:space="preserve">BASE OU CAMADA REGULARIZADORA,EXECUTADA COM ARGAMASSA DE CIMENTO A AREIA,NO TRACO 1:4,NA ESPESSURA DE 2CM </t>
    </r>
  </si>
  <si>
    <r>
      <rPr>
        <b/>
        <sz val="10"/>
        <rFont val="Calibri"/>
        <family val="2"/>
        <scheme val="minor"/>
      </rPr>
      <t>PAVIMENTAÇÃO INTERNA</t>
    </r>
  </si>
  <si>
    <r>
      <rPr>
        <b/>
        <sz val="10"/>
        <rFont val="Calibri"/>
        <family val="2"/>
        <scheme val="minor"/>
      </rPr>
      <t>SISTEMAS DE PISOS INTERNOS E EXTERNOS (PAVIMENTAÇÃO)</t>
    </r>
  </si>
  <si>
    <t>TELHAMENTO COM TELHA ONDULADA DE FIBROCIMENTO E = 6 MM, COM RECOBRIMENTO LATERAL DE 1/4 DE ONDA PARA TELHADO COM INCLINAÇÃO MAIOR QUE 10°, COM ATÉ 2 ÁGUAS, INCLUSO IÇAMENTO. AF_06/2016 (TROCA DE 50% DO TELHADO)</t>
  </si>
  <si>
    <r>
      <rPr>
        <sz val="10"/>
        <rFont val="Arial"/>
        <family val="2"/>
      </rPr>
      <t>94207</t>
    </r>
  </si>
  <si>
    <r>
      <rPr>
        <b/>
        <sz val="10"/>
        <rFont val="Calibri"/>
        <family val="2"/>
        <scheme val="minor"/>
      </rPr>
      <t>COBERTURA</t>
    </r>
  </si>
  <si>
    <t>VERGA MOLDADA IN LOCO EM CONCRETO PARA PORTAS COM ATÉ 1,5 M DE VÃO. AF_03/2016</t>
  </si>
  <si>
    <r>
      <rPr>
        <sz val="10"/>
        <rFont val="Arial"/>
        <family val="2"/>
      </rPr>
      <t>FECHADURA DE EMBUTIR COM CILINDRO, EXTERNA, COMPLETA, ACABAMENTO PADRÃO POPULAR, INCLUSO EXECUÇÃO DE FURO - FORNECIMENTO E INSTALAÇÃO. AF_08/2015</t>
    </r>
  </si>
  <si>
    <r>
      <rPr>
        <sz val="10"/>
        <rFont val="Arial"/>
        <family val="2"/>
      </rPr>
      <t>91304</t>
    </r>
  </si>
  <si>
    <t>PORTA EM ALUMÍNIO DE ABRIR TIPO VENEZIANA COM GUARNIÇÃO, FIXAÇÃO COM PARAFUSOS - FORNECIMENTO E INSTALAÇÃO. AF_08/2015 (P05)</t>
  </si>
  <si>
    <t>PORTA MADEIRA 1A CORRER P/VIDRO 30MM/ GUARNICAO 15CM/ALIZAR (P04)</t>
  </si>
  <si>
    <t>KIT DE PORTA DE MADEIRA PARA PINTURA, SEMI-OCA (LEVE OU MÉDIA), PADRÃO POPULAR, 90X210CM, ESPESSURA DE 3,5CM, ITENS INCLUSOS: DOBRADIÇAS, MONTAGEM E INSTALAÇÃO DO BATENTE, SEM FECHADURA - FORNECIMENTO E INSTALAÇÃO. AF_08/2015 (P09)</t>
  </si>
  <si>
    <t>KIT DE PORTA DE MADEIRA PARA PINTURA, SEMI-OCA (LEVE OU MÉDIA), PADRÃO POPULAR, 80X210CM, ESPESSURA DE 3,5CM, ITENS INCLUSOS: DOBRADIÇAS, MONTAGEM E INSTALAÇÃO DO BATENTE, SEM FECHADURA - FORNECIMENTO E INSTALAÇÃO. AF_08/2015 (P03)</t>
  </si>
  <si>
    <t>KIT DE PORTA DE MADEIRA PARA PINTURA, SEMI-OCA (LEVE OU MÉDIA), PADRÃO POPULAR, 70X210CM, ESPESSURA DE 3,5CM, ITENS INCLUSOS: DOBRADIÇAS, MONTAGEM E INSTALAÇÃO DO BATENTE, SEM FECHADURA - FORNECIMENTO E INSTALAÇÃO. AF_08/2015 (P02)</t>
  </si>
  <si>
    <t>KIT DE PORTA DE MADEIRA PARA PINTURA, SEMI-OCA (LEVE OU MÉDIA), PADRÃO POPULAR, 60X210CM, ESPESSURA DE 3,5CM, ITENS INCLUSOS: DOBRADIÇAS, MONTAGEM E INSTALAÇÃO DO BATENTE, SEM FECHADURA - FORNECIMENTO E INSTALAÇÃO. AF_08/2015 (P01)</t>
  </si>
  <si>
    <r>
      <rPr>
        <sz val="10"/>
        <rFont val="Calibri"/>
        <family val="2"/>
        <scheme val="minor"/>
      </rPr>
      <t>PORTAS DE MADEIRA - PM</t>
    </r>
  </si>
  <si>
    <r>
      <rPr>
        <b/>
        <sz val="10"/>
        <rFont val="Calibri"/>
        <family val="2"/>
        <scheme val="minor"/>
      </rPr>
      <t>ESQUADRIAS</t>
    </r>
  </si>
  <si>
    <t>PAREDE COM PLACAS DE GESSO ACARTONADO (DRYWALL), PARA USO INTERNO COM DUAS FACES DUPLAS E ESTRUTURA METÁLICA COM GUIAS DUPLAS, SEM VÃOS. AF_06/2017</t>
  </si>
  <si>
    <r>
      <rPr>
        <sz val="10"/>
        <rFont val="Arial"/>
        <family val="2"/>
      </rPr>
      <t>Alvenaria de vedação horizontal em tijolos cerâmicos Dimensões nominais: 14x19x39; assentamento em argamassa no traço 1:2:8 (cimento, cal e areia) para parede externa</t>
    </r>
  </si>
  <si>
    <r>
      <rPr>
        <sz val="10"/>
        <rFont val="Arial"/>
        <family val="2"/>
      </rPr>
      <t>87491</t>
    </r>
  </si>
  <si>
    <r>
      <rPr>
        <b/>
        <sz val="10"/>
        <rFont val="Calibri"/>
        <family val="2"/>
        <scheme val="minor"/>
      </rPr>
      <t>ALVENARIA DE VEDAÇÃO - 1o PAVIMENTO</t>
    </r>
  </si>
  <si>
    <t>SISTEMA DE VEDAÇÃO VERTICAL (PAREDES)</t>
  </si>
  <si>
    <t>2.10</t>
  </si>
  <si>
    <t>Remoção de pintura antiga a base de PVA</t>
  </si>
  <si>
    <t>Coomp - 03</t>
  </si>
  <si>
    <t>2.8</t>
  </si>
  <si>
    <t>APICOAMENTO MANUAL DE SUPERFICIE DE CONCRETO (cerâmica)</t>
  </si>
  <si>
    <t>84084</t>
  </si>
  <si>
    <t>Retirada de portas e janelas de madeira, inclusive batentes</t>
  </si>
  <si>
    <t>DEMOLICAO DE TELHAS CERAMICAS OU DE VIDRO</t>
  </si>
  <si>
    <t>72224</t>
  </si>
  <si>
    <t>REMOCAO DE AZULEJO E SUBSTRATO DE ADERENCIA EM ARGAMASSA</t>
  </si>
  <si>
    <r>
      <rPr>
        <sz val="10"/>
        <rFont val="Arial"/>
        <family val="2"/>
      </rPr>
      <t>DEMOLICAO DE ALVENARIA DE TIJOLOS FURADOS S/REAPROVEITAMENTO</t>
    </r>
  </si>
  <si>
    <t>73899/2</t>
  </si>
  <si>
    <r>
      <rPr>
        <b/>
        <sz val="10"/>
        <rFont val="Calibri"/>
        <family val="2"/>
        <scheme val="minor"/>
      </rPr>
      <t>SERVIÇOS PRELIMINARES</t>
    </r>
  </si>
  <si>
    <t>COMP - 01</t>
  </si>
  <si>
    <r>
      <rPr>
        <b/>
        <sz val="10"/>
        <rFont val="Calibri"/>
        <family val="2"/>
        <scheme val="minor"/>
      </rPr>
      <t>ADMINISTRAÇÃO LOCAL DA OBRA</t>
    </r>
  </si>
  <si>
    <t>REFORMA DA UNIDADE DE SAÚDE 3</t>
  </si>
  <si>
    <t>14.1</t>
  </si>
  <si>
    <t>Banhºs</t>
  </si>
  <si>
    <t>CONFORME PLANILHA USSM-PLANILHA-ELE-R00 DE QUANTITAVOS DO PROJETO</t>
  </si>
  <si>
    <t xml:space="preserve">Igual Torneiras + </t>
  </si>
  <si>
    <t>11.4.3</t>
  </si>
  <si>
    <t>Igual Torneiras</t>
  </si>
  <si>
    <t>11.4.2</t>
  </si>
  <si>
    <t>Banhº e WC's</t>
  </si>
  <si>
    <t>11.4.1</t>
  </si>
  <si>
    <t>11.4</t>
  </si>
  <si>
    <t>Cubas e Lavatórios</t>
  </si>
  <si>
    <t>11.3.4</t>
  </si>
  <si>
    <t>Almox 01</t>
  </si>
  <si>
    <t>11.3.3</t>
  </si>
  <si>
    <t>WC PNE</t>
  </si>
  <si>
    <t>11.3.2</t>
  </si>
  <si>
    <t>11.3.1</t>
  </si>
  <si>
    <t>11.3</t>
  </si>
  <si>
    <t>11.2.7</t>
  </si>
  <si>
    <t xml:space="preserve">WC 01 e 02, Peq. Cirurg 01 e 02 (02un), Lab. TB, Lab Hansen, Lab. Tuberc., Hansen, Nebul., Consul 02 03 06 07 e 08, Raio X Odonto. </t>
  </si>
  <si>
    <t>Almox 01, Peq. Cirurgias 01, Consult. 04 e 05, Consult. Odonto.(06), Sala de Curativos, Lab TB, Lab Hansen, Ester. 02.</t>
  </si>
  <si>
    <t>Banheiros, WC's e WC PNE</t>
  </si>
  <si>
    <t>Banheiros e WC's</t>
  </si>
  <si>
    <t>Banhº 02</t>
  </si>
  <si>
    <t>Banhº 01</t>
  </si>
  <si>
    <t>Sala de Curativo</t>
  </si>
  <si>
    <t>Laboratório Hansen</t>
  </si>
  <si>
    <t>Laboratório TB</t>
  </si>
  <si>
    <t>Balcão de Atendimento</t>
  </si>
  <si>
    <t>Consultório Odontologico</t>
  </si>
  <si>
    <t>Esterilização 02</t>
  </si>
  <si>
    <t>Esterilização 01</t>
  </si>
  <si>
    <t>Consultorio 05</t>
  </si>
  <si>
    <t>Consultorio 04</t>
  </si>
  <si>
    <t>Pequenas Cirurgias 01</t>
  </si>
  <si>
    <t>Esterilização</t>
  </si>
  <si>
    <t>Almoxarifado 01</t>
  </si>
  <si>
    <t>11.1.1</t>
  </si>
  <si>
    <t>CONFORME PLANILHA USSM-PLANILHA-ESG-R00 DE QUANTITAVOS DO PROJETO</t>
  </si>
  <si>
    <t>CONFORME PLANILHA USSM-PLANILHA-HID-R00 DE QUANTITAVOS DO PROJETO</t>
  </si>
  <si>
    <t>PORTA MADEIRA 1A CORRER 80x210cm</t>
  </si>
  <si>
    <t>PORTA DE MADEIRA, 90X210CM</t>
  </si>
  <si>
    <t>PORTA DE MADEIRA, 80X210CM</t>
  </si>
  <si>
    <t>PORTA DE MADEIRA, 70X210CM</t>
  </si>
  <si>
    <t>PORTA DE MADEIRA, 60X210CM</t>
  </si>
  <si>
    <t>8.7</t>
  </si>
  <si>
    <t>Igual emassamento</t>
  </si>
  <si>
    <t>8.6</t>
  </si>
  <si>
    <t>Corredor</t>
  </si>
  <si>
    <t>Banhº 03</t>
  </si>
  <si>
    <t>Banhº</t>
  </si>
  <si>
    <t>WC Raio X Odontologico</t>
  </si>
  <si>
    <t>WC Pequenas Cirurgias 02</t>
  </si>
  <si>
    <t>WC Pequenas Cirurgias 01</t>
  </si>
  <si>
    <t>WC 02</t>
  </si>
  <si>
    <t>WC 01</t>
  </si>
  <si>
    <t>Preparo dos Materiais</t>
  </si>
  <si>
    <t>Raio X Odontológico</t>
  </si>
  <si>
    <t>Limpeza 02</t>
  </si>
  <si>
    <t>Almoxarifado 02</t>
  </si>
  <si>
    <t>Coleta</t>
  </si>
  <si>
    <t>Circulação WC</t>
  </si>
  <si>
    <t>Limpeza 01</t>
  </si>
  <si>
    <t>Consultório 09</t>
  </si>
  <si>
    <t>Arquivo</t>
  </si>
  <si>
    <t>Triagem Pediátrica</t>
  </si>
  <si>
    <t>Fraldário</t>
  </si>
  <si>
    <t>Espera</t>
  </si>
  <si>
    <t>Corredor 02</t>
  </si>
  <si>
    <t>Atendimento</t>
  </si>
  <si>
    <t>Consultório 08</t>
  </si>
  <si>
    <t>Consultório 07</t>
  </si>
  <si>
    <t>Consultório 06</t>
  </si>
  <si>
    <t>Consultório 05</t>
  </si>
  <si>
    <t>Consultório 04</t>
  </si>
  <si>
    <t>Consultório 03</t>
  </si>
  <si>
    <t>Consultório 02</t>
  </si>
  <si>
    <t>Corredor 01</t>
  </si>
  <si>
    <t>Nebulização</t>
  </si>
  <si>
    <t>Hansen</t>
  </si>
  <si>
    <t>Tuberculose</t>
  </si>
  <si>
    <t>Sala Peq. Cirurguias 02</t>
  </si>
  <si>
    <t>Pequenas Cirugias 02</t>
  </si>
  <si>
    <t>Sala Peq. Cirurguias 01</t>
  </si>
  <si>
    <t>Pequenas Cirugias 01</t>
  </si>
  <si>
    <t>Sisvan</t>
  </si>
  <si>
    <t>Hall Esterilização</t>
  </si>
  <si>
    <t>Consultório 01</t>
  </si>
  <si>
    <t>Tetos</t>
  </si>
  <si>
    <t>Lado externo Banhºs e Wc's</t>
  </si>
  <si>
    <t>B02</t>
  </si>
  <si>
    <t>B01</t>
  </si>
  <si>
    <t>J02</t>
  </si>
  <si>
    <t>J01</t>
  </si>
  <si>
    <t>B04</t>
  </si>
  <si>
    <t>B03</t>
  </si>
  <si>
    <t>Deduções de Janelas</t>
  </si>
  <si>
    <t>Banco Corredor</t>
  </si>
  <si>
    <t>Banco Sala de Espera</t>
  </si>
  <si>
    <t>Alvenaria Nova (2X)</t>
  </si>
  <si>
    <t>Dedução de portas: 01 - 1,00 x2,10</t>
  </si>
  <si>
    <t>Frente</t>
  </si>
  <si>
    <t>Dedução de portas: 01 - 1,745 x2,10</t>
  </si>
  <si>
    <t>Fundos</t>
  </si>
  <si>
    <t>Dedução de portas: 01 - 2,95 x2,10</t>
  </si>
  <si>
    <t>Lateral 02</t>
  </si>
  <si>
    <t>Dedução de portas: 02 - 0,90 x2,10 / 01 - 0,80x2,10</t>
  </si>
  <si>
    <t>Lateral 01</t>
  </si>
  <si>
    <t>Dedução de portas: 07 - 0,80 x2,10 / 02 - 0,90 x2,10 / 01 - 2,54x2,83</t>
  </si>
  <si>
    <t>Dedução de Alv. Nova: 02 - 0,80 x2,10</t>
  </si>
  <si>
    <t>Dedução de portas: 01 - 0,80 x2,10 / 01 - 0,90 x2,10</t>
  </si>
  <si>
    <t>Esterilização 01 e 02</t>
  </si>
  <si>
    <t>Dedução de portas: 01 - 0,80 x2,10 / 01 - 0,60 x2,10</t>
  </si>
  <si>
    <t>Dedução de portas: 01 - 0,80 x2,10</t>
  </si>
  <si>
    <t>Dedução de portas: 03 - 0,60 x2,10 / 02 - 0,80 x2,10 / 01 - 1,00 x2,10</t>
  </si>
  <si>
    <t>Circulação WC's / Limpeza</t>
  </si>
  <si>
    <t>Dedução de portas: 02 - 1,00 x2,10 / 03 - 0,80 x2,10</t>
  </si>
  <si>
    <t>Dedução de portas: 01 - 0,60 x2,10</t>
  </si>
  <si>
    <t>Circulação Banheiros</t>
  </si>
  <si>
    <t>Dedução de portas: 01 - 0,90 x2,10</t>
  </si>
  <si>
    <t>Dedução de portas: 02 - 0,70 x2,10 / 01 - 1,74 x2,10</t>
  </si>
  <si>
    <t>Dedução de portas: 02 - 0,80 x2,10 / 01 - 0,70 x2,10</t>
  </si>
  <si>
    <t>Dedução de alvenaria nova: 02 - 0,80 x2,10</t>
  </si>
  <si>
    <t>Dedução de portas: 13 - 0,80 x2,10 / 01 - 2,27 x2,10</t>
  </si>
  <si>
    <t>Dedução de portas: 02 - 0,80 x2,10</t>
  </si>
  <si>
    <t>Dedução de portas: 15 - 0,80 x2,10</t>
  </si>
  <si>
    <t>Dedução de portas: 01 - 0,80 x2,10 / 01 - 1,23 x2,10  / 01 - 0,60 x2,10</t>
  </si>
  <si>
    <t xml:space="preserve">Dedução de portas: 01 - 0,80 x2,10 / 01 - 1,23 x2,10 </t>
  </si>
  <si>
    <t>Paredes</t>
  </si>
  <si>
    <t xml:space="preserve">PINTURA </t>
  </si>
  <si>
    <t>Sala de Espera</t>
  </si>
  <si>
    <t>Acesso 1º Pav.</t>
  </si>
  <si>
    <t>PORTA EM ALUMÍNIO DE ABRIR TIPO VENEZIANA 90x210cm</t>
  </si>
  <si>
    <t>Dedução de portas: 01 - 0,60x2,10</t>
  </si>
  <si>
    <t>WC02</t>
  </si>
  <si>
    <t>WC01</t>
  </si>
  <si>
    <t>Dedução de portas/Basculas: 01 - 0,90x2,10 / 2 - 0,60x0,65</t>
  </si>
  <si>
    <t>Dedução de portas/Basculas: 02 - 0,60x2,10 / 1 - 0,70x2,10</t>
  </si>
  <si>
    <t>RODAPÉ CERÂMICO ALT. 7CM</t>
  </si>
  <si>
    <t>Dedução de portas: 07 - 0,80 / 02 - 0,90 / 01 - 2,54</t>
  </si>
  <si>
    <t xml:space="preserve">Dedução de portas: 02 - 0,80  / 01 - 0,90 </t>
  </si>
  <si>
    <t xml:space="preserve">Dedução de portas: 01 - 0,80 </t>
  </si>
  <si>
    <t xml:space="preserve">Dedução de portas: 01 - 0,80  / 01 - 0,60 </t>
  </si>
  <si>
    <t xml:space="preserve">Dedução de portas: 03 - 0,60  / 02 - 0,80  / 01 - 1,00 </t>
  </si>
  <si>
    <t>Dedução de portas: 01 - 1,00  / 03 - 0,80 / 01 - 0,90</t>
  </si>
  <si>
    <t xml:space="preserve">Dedução de portas: 01 - 0,60 </t>
  </si>
  <si>
    <t xml:space="preserve">Dedução de portas: 01 - 0,90 </t>
  </si>
  <si>
    <t xml:space="preserve">Dedução de portas: 02 - 0,70  / 01 - 1,74 </t>
  </si>
  <si>
    <t xml:space="preserve">Dedução de portas: 01 - 1,745 </t>
  </si>
  <si>
    <t xml:space="preserve">Dedução de portas: 02 - 0,80  / 01 - 0,70 </t>
  </si>
  <si>
    <t xml:space="preserve">Dedução de portas: 13 - 0,80  / 01 - 2,27 </t>
  </si>
  <si>
    <t xml:space="preserve">Dedução de portas: 02 - 0,80 </t>
  </si>
  <si>
    <t xml:space="preserve">Dedução de portas: 15 - 0,80 </t>
  </si>
  <si>
    <t xml:space="preserve">Dedução de portas: 01 - 0,80  / 01 - 1,23   / 01 - 0,60 </t>
  </si>
  <si>
    <t xml:space="preserve">Dedução de portas: 01 - 0,80  / 01 - 1,23  </t>
  </si>
  <si>
    <t xml:space="preserve">Dedução de portas: 01 - 1,00 </t>
  </si>
  <si>
    <t>=Área Apicoada - Piso Cerâmico</t>
  </si>
  <si>
    <t>Calçada em torno do prédio</t>
  </si>
  <si>
    <t>Igual Área Apicoada</t>
  </si>
  <si>
    <t>Dedução de portas/Basculas: 01 - 0,60x2,10 / 1 - 0,90x0,60</t>
  </si>
  <si>
    <t>Dedução de portas/Basculas: 01 - 0,60x2,10 / 1 - 0,60x0,65</t>
  </si>
  <si>
    <t>6.3</t>
  </si>
  <si>
    <t>Igual área chapisco</t>
  </si>
  <si>
    <t>Área de Alvenaria Nova (2X)</t>
  </si>
  <si>
    <t>Área de demolição de reboco</t>
  </si>
  <si>
    <t>6.1</t>
  </si>
  <si>
    <t>Consultorio Odontológico</t>
  </si>
  <si>
    <t>Revestimento em Pilares Metálicos</t>
  </si>
  <si>
    <t>Final Corredor 01</t>
  </si>
  <si>
    <t>Dedução de portas: 01 - 0,90x2,10</t>
  </si>
  <si>
    <t>Sala de Curativos</t>
  </si>
  <si>
    <t>Consultrio Odontologico</t>
  </si>
  <si>
    <t>Dedução de portas: 02 - 0,80x2,10</t>
  </si>
  <si>
    <t>Esterilização / Preparo de Materiais</t>
  </si>
  <si>
    <t>Dedução de portas: 03 - 0,60x2,10</t>
  </si>
  <si>
    <t>WC 01 / WC 02 / LIMPEZA</t>
  </si>
  <si>
    <t>Dedução de portas: 01 - 0,80x2,10</t>
  </si>
  <si>
    <t>Demolição de alvenaria, Demolição de reboco, Demolição Azulejo</t>
  </si>
  <si>
    <t>Transporte de Entulho (30% empolamento)</t>
  </si>
  <si>
    <t>Carga de Entulho (30% empolamento)</t>
  </si>
  <si>
    <t>2.9</t>
  </si>
  <si>
    <t>Dedução de portas: 01 - 1,00x0,90</t>
  </si>
  <si>
    <t>Dedução de portas: 01 - 1,745x0,90</t>
  </si>
  <si>
    <t>Dedução de portas: 01 - 2,95x0,90</t>
  </si>
  <si>
    <t>Dedução de portas: 02 - 0,90x0,90 / 01 - 0,80x1,2</t>
  </si>
  <si>
    <t>Dedução de portas: 07 - 0,80x0,90 / 02 - 0,90x0,90 / 01 - 2,54x1,63</t>
  </si>
  <si>
    <t>Dedução de Alv. Nova: 02 - 0,80x0,90</t>
  </si>
  <si>
    <t>Dedução de portas: 01 - 0,80x0,90 / 01 - 0,90x0,90</t>
  </si>
  <si>
    <t>Dedução de portas: 01 - 0,80x0,90 / 01 - 0,60x0,90</t>
  </si>
  <si>
    <t>Dedução de portas: 01 - 0,80x0,90</t>
  </si>
  <si>
    <t>Dedução de portas: 03 - 0,60x0,90 / 02 - 0,80x0,90 / 01 - 1,00x0,90</t>
  </si>
  <si>
    <t>Dedução de portas: 02 - 1,00x0,90 / 03 - 0,80x0,90</t>
  </si>
  <si>
    <t>Dedução de portas: 01 - 0,60x0,90</t>
  </si>
  <si>
    <t>Dedução de portas: 01 - 0,90x0,90</t>
  </si>
  <si>
    <t>Dedução de portas: 02 - 0,70x0,90 / 01 - 1,74x0,90</t>
  </si>
  <si>
    <t>Dedução de portas: 02 - 0,80x0,90 / 01 - 0,70x0,90</t>
  </si>
  <si>
    <t>Dedução de alvenaria nova: 02 - 0,80x0,90</t>
  </si>
  <si>
    <t>Dedução de portas: 13 - 0,80x0,90 / 01 - 2,27x0,90</t>
  </si>
  <si>
    <t>Dedução de portas: 02 - 0,80x0,90</t>
  </si>
  <si>
    <t>Dedução de portas: 15 - 0,80x0,90</t>
  </si>
  <si>
    <t>Dedução de portas: 01 - 0,80x0,90 / 01 - 1,23x0,90  / 01 - 0,60x0,90</t>
  </si>
  <si>
    <t xml:space="preserve">Dedução de portas: 01 - 0,80x0,90 / 01 - 1,23x0,90 </t>
  </si>
  <si>
    <t>Remoção de pintura antiga</t>
  </si>
  <si>
    <t>Apicoamento Manual Superficie em Concreto (Piso Cerâmico)</t>
  </si>
  <si>
    <t>2.7</t>
  </si>
  <si>
    <t>Retirada de portas</t>
  </si>
  <si>
    <t>Estimativa de 50% do telhado</t>
  </si>
  <si>
    <t>Remoção de telhas</t>
  </si>
  <si>
    <t>Dedução de portas/Basculas: 01 - 0,80x2,10 / 1 - 0,90x2,10 / 2 - 0,60x0,65</t>
  </si>
  <si>
    <t>Dedução de portas/Basculas: 01 - 0,80x2,10 / 2 - 0,60x0,65</t>
  </si>
  <si>
    <t>Dedução de portas: 01 - 1,00x1,20</t>
  </si>
  <si>
    <t>Dedução de portas: 01 - 1,745x1,20</t>
  </si>
  <si>
    <t>Dedução de portas: 01 - 2,95x1,20</t>
  </si>
  <si>
    <t>Dedução de portas: 02 - 0,90x1,20 / 01 - 0,80x1,2</t>
  </si>
  <si>
    <t>Dedução de portas: 07 - 0,80x1,20 / 02 - 0,90x1,20 / 01 - 2,54x1,2</t>
  </si>
  <si>
    <t>Dedução de Alv. Nova: 02 - 0,80x1,20</t>
  </si>
  <si>
    <t>Dedução de portas: 01 - 0,80x1,20 / 01 - 0,90x1,20</t>
  </si>
  <si>
    <t>Dedução de portas: 01 - 0,80x1,20 / 01 - 0,60x1,20</t>
  </si>
  <si>
    <t>Dedução de portas: 01 - 0,80x1,20</t>
  </si>
  <si>
    <t>Dedução de portas: 03 - 0,60x1,20 / 02 - 0,80x1,20 / 01 - 1,00x1,20</t>
  </si>
  <si>
    <t>Dedução de portas: 02 - 1,00x1,20 / 03 - 0,80x1,20</t>
  </si>
  <si>
    <t>Dedução de portas: 01 - 0,60x1,20</t>
  </si>
  <si>
    <t>Dedução de portas: 01 - 0,90x1,20</t>
  </si>
  <si>
    <t>Dedução de portas: 02 - 0,70x1,20 / 01 - 1,74x1,20</t>
  </si>
  <si>
    <t>Dedução de portas: 02 - 0,80x1,20 / 01 - 0,70x1,20</t>
  </si>
  <si>
    <t>Dedução de alvenaria nova: 02 - 0,80x1,20</t>
  </si>
  <si>
    <t>Dedução de portas: 13 - 0,80x1,20 / 01 - 2,27x1,20</t>
  </si>
  <si>
    <t>Dedução de portas: 02 - 0,80x1,20</t>
  </si>
  <si>
    <t>Dedução de portas: 15 - 0,80x1,20</t>
  </si>
  <si>
    <t>Dedução de portas: 01 - 0,80x1,20 / 01 - 1,23x1,20  / 01 - 0,60x1,20</t>
  </si>
  <si>
    <t xml:space="preserve">Dedução de portas: 01 - 0,80x1,20 / 01 - 1,23x1,20 </t>
  </si>
  <si>
    <t>Banco Sala 06</t>
  </si>
  <si>
    <t>Corredor externo</t>
  </si>
  <si>
    <t>Dedução de porta: 01 - 0,80x2,10</t>
  </si>
  <si>
    <t>Dedução de porta: 01 - 3,00x2,10</t>
  </si>
  <si>
    <t>Dedução de porta: 02 - 0,80x2,10</t>
  </si>
  <si>
    <t>Dedução de porta: 02 - 0,60x2,10</t>
  </si>
  <si>
    <t>Dedução de porta: 01 - 0,80x2,10 / 01 - 0,60x2,10</t>
  </si>
  <si>
    <t>Dedução de porta: 01 - 1,40x2,10</t>
  </si>
  <si>
    <t>Sala 02/03/04/05/06</t>
  </si>
  <si>
    <t>Sala de coleta</t>
  </si>
  <si>
    <t>Administração Local</t>
  </si>
  <si>
    <r>
      <t>Obra</t>
    </r>
    <r>
      <rPr>
        <sz val="10"/>
        <rFont val="Arial"/>
        <family val="2"/>
      </rPr>
      <t>: Reforma da Unidade de Saude 3</t>
    </r>
  </si>
  <si>
    <t>GRANITO CINZA ANDORINHA POLIDO ESP. 2CM P/ BANCAD (LABOR)</t>
  </si>
  <si>
    <t>CIMENTO PORTLAND COMPOSTO CP II-32</t>
  </si>
  <si>
    <t>AREIA MEDIA - POSTO JAZIDA/FORNECEDOR (RETIRADO NA JAZIDA, SEM TRANSPORTE)</t>
  </si>
  <si>
    <t>Bancada de granito cinza andorinha com espessura de 2cm</t>
  </si>
  <si>
    <t>Comp - 10 (Iopes-170220)</t>
  </si>
  <si>
    <t>Exaustor axial, diametro de 300mm, modelo 1625, True ou similar</t>
  </si>
  <si>
    <t>UND</t>
  </si>
  <si>
    <t>LIXA EM FOLHA PARA PAREDE OU MADEIRA, NUMERO 120 (COR VERMELHA)</t>
  </si>
  <si>
    <t>CUSTO UNITÁRIO (Adotado)/100</t>
  </si>
  <si>
    <t>03 meses</t>
  </si>
  <si>
    <r>
      <t xml:space="preserve">Obra: </t>
    </r>
    <r>
      <rPr>
        <sz val="10"/>
        <rFont val="Arial"/>
        <family val="2"/>
      </rPr>
      <t>Reforma da Unidade de Saude 3</t>
    </r>
  </si>
  <si>
    <t>PLANILHA DE AMPLIAÇÃO DA OBRA</t>
  </si>
  <si>
    <t>PLANILHA DE REFORMA DA OBRA</t>
  </si>
  <si>
    <t>2.1.1</t>
  </si>
  <si>
    <t>2.2.1</t>
  </si>
  <si>
    <t>2.2.2</t>
  </si>
  <si>
    <t>2.2.3</t>
  </si>
  <si>
    <t>2.2.4</t>
  </si>
  <si>
    <t>2.2.5</t>
  </si>
  <si>
    <t>2.2.6</t>
  </si>
  <si>
    <t>2.2.7</t>
  </si>
  <si>
    <t>2.2.8</t>
  </si>
  <si>
    <t>2.2.9</t>
  </si>
  <si>
    <t>2.2.10</t>
  </si>
  <si>
    <t>2.3.1</t>
  </si>
  <si>
    <t>2.3.1.1</t>
  </si>
  <si>
    <t>2.3.1.2</t>
  </si>
  <si>
    <t>2.4.1</t>
  </si>
  <si>
    <t>2.4.1.1</t>
  </si>
  <si>
    <t>2.4.1.2</t>
  </si>
  <si>
    <t>2.4.1.3</t>
  </si>
  <si>
    <t>2.4.1.4</t>
  </si>
  <si>
    <t>2.4.1.5</t>
  </si>
  <si>
    <t>2.4.1.6</t>
  </si>
  <si>
    <t>2.4.1.7</t>
  </si>
  <si>
    <t>2.4.1.8</t>
  </si>
  <si>
    <t>2.5.1</t>
  </si>
  <si>
    <t>2.6.1</t>
  </si>
  <si>
    <t>2.6.2</t>
  </si>
  <si>
    <t>2.6.3</t>
  </si>
  <si>
    <t>2.7.1</t>
  </si>
  <si>
    <t>2.7.1.1</t>
  </si>
  <si>
    <t>2.7.1.2</t>
  </si>
  <si>
    <t>2.7.1.3</t>
  </si>
  <si>
    <t>2.7.1.4</t>
  </si>
  <si>
    <t>2.7.1.5</t>
  </si>
  <si>
    <t>2.7.1.6</t>
  </si>
  <si>
    <t>2.7.1.7</t>
  </si>
  <si>
    <t>2.7.1.8</t>
  </si>
  <si>
    <t>2.8.1</t>
  </si>
  <si>
    <t>2.8.2</t>
  </si>
  <si>
    <t>2.8.3</t>
  </si>
  <si>
    <t>2.8.4</t>
  </si>
  <si>
    <t>2.8.5</t>
  </si>
  <si>
    <t>2.8.6</t>
  </si>
  <si>
    <t>2.8.7</t>
  </si>
  <si>
    <t>2.9.1</t>
  </si>
  <si>
    <t>2.9.1.1</t>
  </si>
  <si>
    <t>2.9.1.2</t>
  </si>
  <si>
    <t>2.9.1.3</t>
  </si>
  <si>
    <t>2.9.1.4</t>
  </si>
  <si>
    <t>2.9.1.5</t>
  </si>
  <si>
    <t>2.9.1.6</t>
  </si>
  <si>
    <t>2.9.1.7</t>
  </si>
  <si>
    <t>2.9.1.8</t>
  </si>
  <si>
    <t>2.9.1.9</t>
  </si>
  <si>
    <t>2.9.1.10</t>
  </si>
  <si>
    <t>2.9.1.11</t>
  </si>
  <si>
    <t>2.9.1.12</t>
  </si>
  <si>
    <t>2.9.1.13</t>
  </si>
  <si>
    <t>2.9.1.14</t>
  </si>
  <si>
    <t>2.9.1.15</t>
  </si>
  <si>
    <t>2.9.1.16</t>
  </si>
  <si>
    <t>2.9.1.17</t>
  </si>
  <si>
    <t>2.9.1.18</t>
  </si>
  <si>
    <t>2.9.1.19</t>
  </si>
  <si>
    <t>2.9.1.20</t>
  </si>
  <si>
    <t>2.9.1.21</t>
  </si>
  <si>
    <t>2.9.1.22</t>
  </si>
  <si>
    <t>2.9.1.23</t>
  </si>
  <si>
    <t>2.9.1.24</t>
  </si>
  <si>
    <t>2.9.1.25</t>
  </si>
  <si>
    <t>2.9.1.26</t>
  </si>
  <si>
    <t>2.9.1.27</t>
  </si>
  <si>
    <t>2.9.1.28</t>
  </si>
  <si>
    <t>2.9.2</t>
  </si>
  <si>
    <t>2.9.2.1</t>
  </si>
  <si>
    <t>2.9.2.2</t>
  </si>
  <si>
    <t>2.9.2.3</t>
  </si>
  <si>
    <t>2.9.2.4</t>
  </si>
  <si>
    <t>2.9.2.5</t>
  </si>
  <si>
    <t>2.9.2.6</t>
  </si>
  <si>
    <t>2.10.1</t>
  </si>
  <si>
    <t>2.10.2</t>
  </si>
  <si>
    <t>2.10.3</t>
  </si>
  <si>
    <t>2.10.4</t>
  </si>
  <si>
    <t>2.10.5</t>
  </si>
  <si>
    <t>2.11</t>
  </si>
  <si>
    <t>2.11.1</t>
  </si>
  <si>
    <t>2.11.1.1</t>
  </si>
  <si>
    <t>2.11.2</t>
  </si>
  <si>
    <t>2.11.2.1</t>
  </si>
  <si>
    <t>2.11.2.2</t>
  </si>
  <si>
    <t>2.11.2.3</t>
  </si>
  <si>
    <t>2.11.2.4</t>
  </si>
  <si>
    <t>2.11.2.5</t>
  </si>
  <si>
    <t>2.11.2.6</t>
  </si>
  <si>
    <t>2.11.2.7</t>
  </si>
  <si>
    <t>2.11.3</t>
  </si>
  <si>
    <t>2.11.3.1</t>
  </si>
  <si>
    <t>2.11.3.2</t>
  </si>
  <si>
    <t>2.11.3.3</t>
  </si>
  <si>
    <t>2.11.3.4</t>
  </si>
  <si>
    <t>2.11.3.5</t>
  </si>
  <si>
    <t>2.11.4</t>
  </si>
  <si>
    <t>2.11.4.1</t>
  </si>
  <si>
    <t>2.11.4.2</t>
  </si>
  <si>
    <t>2.11.4.3</t>
  </si>
  <si>
    <t>2.12</t>
  </si>
  <si>
    <t>2.12.1</t>
  </si>
  <si>
    <t>2.12.1.1</t>
  </si>
  <si>
    <t>2.13.1</t>
  </si>
  <si>
    <t>2.13.1.1</t>
  </si>
  <si>
    <t>2.13.1.2</t>
  </si>
  <si>
    <t>2.13.1.3</t>
  </si>
  <si>
    <t>2.13.2</t>
  </si>
  <si>
    <t>2.13.2.1</t>
  </si>
  <si>
    <t>2.13.2.2</t>
  </si>
  <si>
    <t>2.13.2.3</t>
  </si>
  <si>
    <t>2.13.2.4</t>
  </si>
  <si>
    <t>2.13.2.5</t>
  </si>
  <si>
    <t>2.13.2.6</t>
  </si>
  <si>
    <t>2.13.2.7</t>
  </si>
  <si>
    <t>2.13.2.8</t>
  </si>
  <si>
    <t>2.13.2.9</t>
  </si>
  <si>
    <t>2.13.2.10</t>
  </si>
  <si>
    <t>2.13.3</t>
  </si>
  <si>
    <t>2.13.3.1</t>
  </si>
  <si>
    <t>2.13.3.2</t>
  </si>
  <si>
    <t>2.13.3.3</t>
  </si>
  <si>
    <t>2.13.4</t>
  </si>
  <si>
    <t>2.13.4.1</t>
  </si>
  <si>
    <t>2.13.4.2</t>
  </si>
  <si>
    <t>2.13.4.3</t>
  </si>
  <si>
    <t>2.13.5</t>
  </si>
  <si>
    <t>2.13.5.1</t>
  </si>
  <si>
    <t>2.13.5.2</t>
  </si>
  <si>
    <t>2.13.5.3</t>
  </si>
  <si>
    <t>2.13.5.4</t>
  </si>
  <si>
    <t>2.13.5.5</t>
  </si>
  <si>
    <t>2.13.5.6</t>
  </si>
  <si>
    <t>2.13.6</t>
  </si>
  <si>
    <t>2.13.6.1</t>
  </si>
  <si>
    <t>2.13.6.2</t>
  </si>
  <si>
    <t>2.13.6.3</t>
  </si>
  <si>
    <t>2.13.6.4</t>
  </si>
  <si>
    <t>2.14</t>
  </si>
  <si>
    <t>2.14.1</t>
  </si>
  <si>
    <t>2.15</t>
  </si>
  <si>
    <t>2.15.1</t>
  </si>
  <si>
    <r>
      <rPr>
        <sz val="10"/>
        <rFont val="Arial"/>
        <family val="2"/>
      </rPr>
      <t>PINTURA</t>
    </r>
  </si>
  <si>
    <r>
      <rPr>
        <b/>
        <sz val="10"/>
        <rFont val="Arial"/>
        <family val="2"/>
      </rPr>
      <t>MÊS 2</t>
    </r>
    <r>
      <rPr>
        <sz val="11"/>
        <color theme="1"/>
        <rFont val="Calibri"/>
        <family val="2"/>
        <scheme val="minor"/>
      </rPr>
      <t/>
    </r>
  </si>
  <si>
    <r>
      <rPr>
        <b/>
        <sz val="10"/>
        <rFont val="Arial"/>
        <family val="2"/>
      </rPr>
      <t>MÊS 3</t>
    </r>
    <r>
      <rPr>
        <sz val="11"/>
        <color theme="1"/>
        <rFont val="Calibri"/>
        <family val="2"/>
        <scheme val="minor"/>
      </rPr>
      <t/>
    </r>
  </si>
  <si>
    <r>
      <rPr>
        <b/>
        <sz val="10"/>
        <rFont val="Arial"/>
        <family val="2"/>
      </rPr>
      <t>MÊS 4</t>
    </r>
    <r>
      <rPr>
        <sz val="11"/>
        <color theme="1"/>
        <rFont val="Calibri"/>
        <family val="2"/>
        <scheme val="minor"/>
      </rPr>
      <t/>
    </r>
  </si>
  <si>
    <r>
      <rPr>
        <b/>
        <sz val="10"/>
        <rFont val="Arial"/>
        <family val="2"/>
      </rPr>
      <t>MÊS 5</t>
    </r>
    <r>
      <rPr>
        <sz val="11"/>
        <color theme="1"/>
        <rFont val="Calibri"/>
        <family val="2"/>
        <scheme val="minor"/>
      </rPr>
      <t/>
    </r>
  </si>
  <si>
    <r>
      <rPr>
        <b/>
        <sz val="10"/>
        <rFont val="Arial"/>
        <family val="2"/>
      </rPr>
      <t>MÊS 6</t>
    </r>
    <r>
      <rPr>
        <sz val="11"/>
        <color theme="1"/>
        <rFont val="Calibri"/>
        <family val="2"/>
        <scheme val="minor"/>
      </rPr>
      <t/>
    </r>
  </si>
  <si>
    <r>
      <t>Obra</t>
    </r>
    <r>
      <rPr>
        <sz val="10"/>
        <rFont val="Arial"/>
        <family val="2"/>
      </rPr>
      <t>: Reforma e Ampliação da Unidade de Saude 3</t>
    </r>
  </si>
  <si>
    <t>TOTAL GERAL</t>
  </si>
  <si>
    <t>1.0 - OBRA DE AMPLIAÇÃO</t>
  </si>
  <si>
    <t>2.0 - OBRA DE REFORMA</t>
  </si>
  <si>
    <t>2.13</t>
  </si>
  <si>
    <t>VALOR TOTAL DA REFORMA</t>
  </si>
  <si>
    <t xml:space="preserve">                                                            Empresa       
Produto</t>
  </si>
  <si>
    <t>BDI DIFERENCIADO</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</si>
</sst>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R$&quot;\ * #,##0.00_-;\-&quot;R$&quot;\ * #,##0.00_-;_-&quot;R$&quot;\ * &quot;-&quot;??_-;_-@_-"/>
    <numFmt numFmtId="43" formatCode="_-* #,##0.00_-;\-* #,##0.00_-;_-* &quot;-&quot;??_-;_-@_-"/>
    <numFmt numFmtId="164" formatCode="_(* #,##0.00_);_(* \(#,##0.00\);_(* &quot;-&quot;??_);_(@_)"/>
    <numFmt numFmtId="165" formatCode="#,##0.0000"/>
    <numFmt numFmtId="166" formatCode="0.000"/>
    <numFmt numFmtId="167" formatCode="_-* #,##0_-;\-* #,##0_-;_-* &quot;-&quot;??_-;_-@_-"/>
    <numFmt numFmtId="168" formatCode="_-* #,##0.000_-;\-* #,##0.000_-;_-* &quot;-&quot;??_-;_-@_-"/>
  </numFmts>
  <fonts count="34">
    <font>
      <sz val="11"/>
      <color theme="1"/>
      <name val="Calibri"/>
      <family val="2"/>
      <scheme val="minor"/>
    </font>
    <font>
      <sz val="11"/>
      <color theme="1"/>
      <name val="Calibri"/>
      <family val="2"/>
      <scheme val="minor"/>
    </font>
    <font>
      <b/>
      <sz val="7"/>
      <color rgb="FF000000"/>
      <name val="Arial"/>
      <family val="2"/>
    </font>
    <font>
      <sz val="7"/>
      <color rgb="FF000000"/>
      <name val="Arial"/>
      <family val="2"/>
    </font>
    <font>
      <sz val="11"/>
      <color theme="1"/>
      <name val="Calibri"/>
      <family val="2"/>
      <scheme val="minor"/>
    </font>
    <font>
      <b/>
      <sz val="11"/>
      <color theme="1"/>
      <name val="Calibri"/>
      <family val="2"/>
      <scheme val="minor"/>
    </font>
    <font>
      <sz val="10"/>
      <name val="Arial"/>
      <family val="2"/>
    </font>
    <font>
      <b/>
      <sz val="10"/>
      <name val="Arial"/>
      <family val="2"/>
    </font>
    <font>
      <sz val="10"/>
      <color theme="1"/>
      <name val="Arial"/>
      <family val="2"/>
    </font>
    <font>
      <b/>
      <sz val="12"/>
      <name val="Arial"/>
      <family val="2"/>
    </font>
    <font>
      <b/>
      <sz val="10"/>
      <color rgb="FF000000"/>
      <name val="Arial"/>
      <family val="2"/>
    </font>
    <font>
      <b/>
      <sz val="11"/>
      <color rgb="FF000000"/>
      <name val="Arial"/>
      <family val="2"/>
    </font>
    <font>
      <b/>
      <sz val="11"/>
      <name val="Arial"/>
      <family val="2"/>
    </font>
    <font>
      <sz val="10"/>
      <color rgb="FF000000"/>
      <name val="Arial"/>
      <family val="2"/>
    </font>
    <font>
      <sz val="12"/>
      <name val="Arial"/>
      <family val="2"/>
    </font>
    <font>
      <b/>
      <sz val="8"/>
      <name val="Arial"/>
      <family val="2"/>
    </font>
    <font>
      <sz val="8"/>
      <name val="Arial"/>
      <family val="2"/>
    </font>
    <font>
      <sz val="12"/>
      <name val="Swis721 BlkCn BT"/>
      <family val="2"/>
    </font>
    <font>
      <b/>
      <sz val="12"/>
      <name val="Swis721 BlkCn BT"/>
      <family val="2"/>
    </font>
    <font>
      <sz val="10"/>
      <name val="Swis721 Cn BT"/>
      <family val="2"/>
    </font>
    <font>
      <b/>
      <sz val="10"/>
      <name val="Swis721 Cn BT"/>
      <family val="2"/>
    </font>
    <font>
      <sz val="10"/>
      <color theme="1"/>
      <name val="Arial"/>
      <family val="2"/>
    </font>
    <font>
      <sz val="11"/>
      <name val="Calibri"/>
      <family val="2"/>
      <scheme val="minor"/>
    </font>
    <font>
      <sz val="10"/>
      <color theme="0"/>
      <name val="Arial"/>
      <family val="2"/>
    </font>
    <font>
      <b/>
      <sz val="10"/>
      <color theme="0" tint="-0.34998626667073579"/>
      <name val="Arial"/>
      <family val="2"/>
    </font>
    <font>
      <b/>
      <sz val="10"/>
      <color theme="0"/>
      <name val="Arial"/>
      <family val="2"/>
    </font>
    <font>
      <sz val="10"/>
      <color theme="0" tint="-0.34998626667073579"/>
      <name val="Arial"/>
      <family val="2"/>
    </font>
    <font>
      <sz val="10"/>
      <color theme="1"/>
      <name val="Calibri"/>
      <family val="2"/>
      <scheme val="minor"/>
    </font>
    <font>
      <b/>
      <sz val="12"/>
      <color theme="1"/>
      <name val="Calibri"/>
      <family val="2"/>
      <scheme val="minor"/>
    </font>
    <font>
      <b/>
      <sz val="10"/>
      <name val="Calibri"/>
      <family val="2"/>
      <scheme val="minor"/>
    </font>
    <font>
      <b/>
      <sz val="10"/>
      <color theme="1"/>
      <name val="Arial"/>
      <family val="2"/>
    </font>
    <font>
      <sz val="10"/>
      <name val="Calibri"/>
      <family val="2"/>
      <scheme val="minor"/>
    </font>
    <font>
      <b/>
      <sz val="11"/>
      <name val="Calibri"/>
      <family val="2"/>
      <scheme val="minor"/>
    </font>
    <font>
      <b/>
      <sz val="12"/>
      <color rgb="FF000000"/>
      <name val="Arial"/>
      <family val="2"/>
    </font>
  </fonts>
  <fills count="14">
    <fill>
      <patternFill patternType="none"/>
    </fill>
    <fill>
      <patternFill patternType="gray125"/>
    </fill>
    <fill>
      <patternFill patternType="solid">
        <fgColor rgb="FFDFDFDF"/>
      </patternFill>
    </fill>
    <fill>
      <patternFill patternType="none"/>
    </fill>
    <fill>
      <patternFill patternType="solid">
        <fgColor theme="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indexed="31"/>
        <bgColor indexed="64"/>
      </patternFill>
    </fill>
    <fill>
      <patternFill patternType="solid">
        <fgColor rgb="FFCFCFCF"/>
        <bgColor indexed="64"/>
      </patternFill>
    </fill>
    <fill>
      <patternFill patternType="solid">
        <fgColor theme="4" tint="0.39997558519241921"/>
        <bgColor indexed="64"/>
      </patternFill>
    </fill>
    <fill>
      <patternFill patternType="solid">
        <fgColor theme="4" tint="0.39997558519241921"/>
        <bgColor indexed="34"/>
      </patternFill>
    </fill>
  </fills>
  <borders count="73">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rgb="FF000000"/>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thin">
        <color rgb="FF000000"/>
      </top>
      <bottom/>
      <diagonal/>
    </border>
    <border>
      <left style="thin">
        <color rgb="FF000000"/>
      </left>
      <right style="thin">
        <color rgb="FF000000"/>
      </right>
      <top/>
      <bottom/>
      <diagonal/>
    </border>
    <border>
      <left style="thin">
        <color indexed="64"/>
      </left>
      <right style="medium">
        <color indexed="64"/>
      </right>
      <top style="thin">
        <color indexed="64"/>
      </top>
      <bottom style="thin">
        <color rgb="FF000000"/>
      </bottom>
      <diagonal/>
    </border>
    <border>
      <left style="thin">
        <color indexed="64"/>
      </left>
      <right style="medium">
        <color indexed="64"/>
      </right>
      <top/>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style="thin">
        <color rgb="FF000000"/>
      </right>
      <top style="thin">
        <color rgb="FF000000"/>
      </top>
      <bottom/>
      <diagonal/>
    </border>
    <border>
      <left/>
      <right style="medium">
        <color indexed="64"/>
      </right>
      <top/>
      <bottom style="thin">
        <color indexed="64"/>
      </bottom>
      <diagonal/>
    </border>
    <border diagonalDown="1">
      <left style="thin">
        <color indexed="64"/>
      </left>
      <right style="thin">
        <color indexed="64"/>
      </right>
      <top/>
      <bottom style="medium">
        <color indexed="64"/>
      </bottom>
      <diagonal style="thin">
        <color indexed="64"/>
      </diagonal>
    </border>
  </borders>
  <cellStyleXfs count="41">
    <xf numFmtId="0" fontId="0" fillId="0" borderId="0"/>
    <xf numFmtId="9" fontId="4" fillId="0" borderId="0" applyFont="0" applyFill="0" applyBorder="0" applyAlignment="0" applyProtection="0"/>
    <xf numFmtId="0" fontId="6" fillId="3" borderId="1"/>
    <xf numFmtId="164" fontId="6" fillId="3" borderId="1" applyFont="0" applyFill="0" applyBorder="0" applyAlignment="0" applyProtection="0"/>
    <xf numFmtId="0" fontId="4" fillId="3" borderId="1"/>
    <xf numFmtId="0" fontId="6" fillId="3" borderId="1"/>
    <xf numFmtId="0" fontId="4" fillId="3" borderId="1"/>
    <xf numFmtId="0" fontId="1" fillId="3" borderId="1"/>
    <xf numFmtId="0" fontId="1" fillId="3" borderId="1"/>
    <xf numFmtId="0" fontId="1" fillId="3" borderId="1"/>
    <xf numFmtId="0" fontId="1" fillId="3" borderId="1"/>
    <xf numFmtId="0" fontId="1" fillId="3" borderId="1"/>
    <xf numFmtId="0" fontId="1" fillId="3" borderId="1"/>
    <xf numFmtId="0" fontId="1" fillId="3" borderId="1"/>
    <xf numFmtId="0" fontId="1" fillId="3" borderId="1"/>
    <xf numFmtId="0" fontId="1" fillId="3" borderId="1"/>
    <xf numFmtId="0" fontId="1" fillId="3" borderId="1"/>
    <xf numFmtId="0" fontId="1" fillId="3" borderId="1"/>
    <xf numFmtId="0" fontId="1" fillId="3" borderId="1"/>
    <xf numFmtId="0" fontId="1" fillId="3" borderId="1"/>
    <xf numFmtId="0" fontId="1" fillId="3" borderId="1"/>
    <xf numFmtId="0" fontId="1" fillId="3" borderId="1"/>
    <xf numFmtId="0" fontId="1" fillId="3" borderId="1"/>
    <xf numFmtId="0" fontId="1" fillId="3" borderId="1"/>
    <xf numFmtId="0" fontId="1" fillId="3" borderId="1"/>
    <xf numFmtId="0" fontId="1" fillId="3" borderId="1"/>
    <xf numFmtId="0" fontId="1" fillId="3" borderId="1"/>
    <xf numFmtId="0" fontId="1" fillId="3" borderId="1"/>
    <xf numFmtId="43" fontId="1" fillId="0" borderId="0" applyFont="0" applyFill="0" applyBorder="0" applyAlignment="0" applyProtection="0"/>
    <xf numFmtId="0" fontId="1" fillId="3" borderId="1"/>
    <xf numFmtId="9" fontId="1" fillId="3" borderId="1" applyFont="0" applyFill="0" applyBorder="0" applyAlignment="0" applyProtection="0"/>
    <xf numFmtId="43" fontId="6" fillId="3" borderId="1" applyFont="0" applyFill="0" applyBorder="0" applyAlignment="0" applyProtection="0"/>
    <xf numFmtId="0" fontId="1" fillId="3" borderId="1"/>
    <xf numFmtId="0" fontId="1" fillId="3" borderId="1"/>
    <xf numFmtId="43" fontId="1" fillId="3" borderId="1" applyFont="0" applyFill="0" applyBorder="0" applyAlignment="0" applyProtection="0"/>
    <xf numFmtId="44" fontId="1" fillId="3" borderId="1" applyFont="0" applyFill="0" applyBorder="0" applyAlignment="0" applyProtection="0"/>
    <xf numFmtId="9" fontId="6" fillId="3" borderId="1" applyFill="0" applyBorder="0" applyAlignment="0" applyProtection="0"/>
    <xf numFmtId="0" fontId="1" fillId="3" borderId="1"/>
    <xf numFmtId="44" fontId="1" fillId="0" borderId="0" applyFont="0" applyFill="0" applyBorder="0" applyAlignment="0" applyProtection="0"/>
    <xf numFmtId="0" fontId="1" fillId="3" borderId="1"/>
    <xf numFmtId="0" fontId="1" fillId="3" borderId="1"/>
  </cellStyleXfs>
  <cellXfs count="772">
    <xf numFmtId="0" fontId="0" fillId="0" borderId="0" xfId="0"/>
    <xf numFmtId="0" fontId="7" fillId="4" borderId="8" xfId="0" applyFont="1" applyFill="1" applyBorder="1" applyAlignment="1" applyProtection="1">
      <alignment horizontal="left" vertical="center"/>
      <protection locked="0"/>
    </xf>
    <xf numFmtId="0" fontId="6" fillId="4" borderId="9" xfId="0" applyFont="1" applyFill="1" applyBorder="1" applyAlignment="1" applyProtection="1">
      <alignment horizontal="left" vertical="center"/>
      <protection locked="0"/>
    </xf>
    <xf numFmtId="0" fontId="6" fillId="4" borderId="9" xfId="0" applyFont="1" applyFill="1" applyBorder="1" applyAlignment="1" applyProtection="1">
      <alignment horizontal="center" vertical="center"/>
      <protection locked="0"/>
    </xf>
    <xf numFmtId="0" fontId="7" fillId="4" borderId="11" xfId="0" applyFont="1" applyFill="1" applyBorder="1" applyAlignment="1" applyProtection="1">
      <alignment horizontal="left" vertical="center"/>
      <protection locked="0"/>
    </xf>
    <xf numFmtId="0" fontId="6" fillId="4" borderId="1" xfId="0" applyFont="1" applyFill="1" applyBorder="1" applyAlignment="1" applyProtection="1">
      <alignment horizontal="center" vertical="center"/>
      <protection locked="0"/>
    </xf>
    <xf numFmtId="164" fontId="6" fillId="4" borderId="1" xfId="3" applyFont="1" applyFill="1" applyBorder="1" applyAlignment="1" applyProtection="1">
      <alignment horizontal="center" vertical="center"/>
      <protection locked="0"/>
    </xf>
    <xf numFmtId="0" fontId="7" fillId="4" borderId="13" xfId="0" applyFont="1" applyFill="1" applyBorder="1" applyAlignment="1" applyProtection="1">
      <alignment horizontal="left" vertical="center"/>
      <protection locked="0"/>
    </xf>
    <xf numFmtId="0" fontId="6" fillId="4" borderId="14" xfId="0" applyFont="1" applyFill="1" applyBorder="1" applyAlignment="1" applyProtection="1">
      <alignment horizontal="left" vertical="center"/>
      <protection locked="0"/>
    </xf>
    <xf numFmtId="0" fontId="6" fillId="4" borderId="14" xfId="0" applyFont="1" applyFill="1" applyBorder="1" applyAlignment="1" applyProtection="1">
      <alignment horizontal="center" vertical="center"/>
      <protection locked="0"/>
    </xf>
    <xf numFmtId="0" fontId="8" fillId="0" borderId="0" xfId="0" applyFont="1"/>
    <xf numFmtId="0" fontId="6" fillId="4" borderId="1" xfId="2" applyFont="1" applyFill="1" applyBorder="1" applyAlignment="1" applyProtection="1">
      <alignment vertical="center"/>
      <protection locked="0"/>
    </xf>
    <xf numFmtId="0" fontId="6" fillId="4" borderId="1" xfId="2" applyFont="1" applyFill="1" applyBorder="1" applyAlignment="1" applyProtection="1">
      <alignment horizontal="left" vertical="center"/>
      <protection locked="0"/>
    </xf>
    <xf numFmtId="0" fontId="6" fillId="4" borderId="1" xfId="2" applyFont="1" applyFill="1" applyBorder="1" applyAlignment="1" applyProtection="1">
      <alignment horizontal="center" vertical="center"/>
      <protection locked="0"/>
    </xf>
    <xf numFmtId="0" fontId="7" fillId="4" borderId="9" xfId="0" applyFont="1" applyFill="1" applyBorder="1" applyAlignment="1" applyProtection="1">
      <alignment horizontal="left" vertical="center"/>
      <protection locked="0"/>
    </xf>
    <xf numFmtId="164" fontId="6" fillId="4" borderId="9" xfId="3" applyFont="1" applyFill="1" applyBorder="1" applyAlignment="1" applyProtection="1">
      <alignment horizontal="right" vertical="center"/>
      <protection locked="0"/>
    </xf>
    <xf numFmtId="0" fontId="6" fillId="4" borderId="9" xfId="0" applyFont="1" applyFill="1" applyBorder="1" applyAlignment="1" applyProtection="1">
      <alignment horizontal="right" vertical="center"/>
      <protection locked="0"/>
    </xf>
    <xf numFmtId="0" fontId="6" fillId="4" borderId="9" xfId="0" applyFont="1" applyFill="1" applyBorder="1" applyAlignment="1" applyProtection="1">
      <alignment vertical="center"/>
      <protection locked="0"/>
    </xf>
    <xf numFmtId="0" fontId="6" fillId="4" borderId="10" xfId="0" applyFont="1" applyFill="1" applyBorder="1" applyAlignment="1" applyProtection="1">
      <alignment vertical="center"/>
      <protection locked="0"/>
    </xf>
    <xf numFmtId="0" fontId="7" fillId="4" borderId="1" xfId="0" applyFont="1" applyFill="1" applyBorder="1" applyAlignment="1" applyProtection="1">
      <alignment horizontal="left" vertical="center"/>
      <protection locked="0"/>
    </xf>
    <xf numFmtId="164" fontId="6" fillId="4" borderId="1" xfId="3" applyFont="1" applyFill="1" applyBorder="1" applyAlignment="1" applyProtection="1">
      <alignment horizontal="right" vertical="center"/>
      <protection locked="0"/>
    </xf>
    <xf numFmtId="0" fontId="6" fillId="4" borderId="1" xfId="0" applyFont="1" applyFill="1" applyBorder="1" applyAlignment="1" applyProtection="1">
      <alignment horizontal="right" vertical="center"/>
      <protection locked="0"/>
    </xf>
    <xf numFmtId="0" fontId="6" fillId="4" borderId="1" xfId="0" applyFont="1" applyFill="1" applyBorder="1" applyAlignment="1" applyProtection="1">
      <alignment vertical="center"/>
      <protection locked="0"/>
    </xf>
    <xf numFmtId="0" fontId="6" fillId="4" borderId="12" xfId="0" applyFont="1" applyFill="1" applyBorder="1" applyAlignment="1" applyProtection="1">
      <alignment vertical="center"/>
      <protection locked="0"/>
    </xf>
    <xf numFmtId="0" fontId="7" fillId="4" borderId="14" xfId="0" applyFont="1" applyFill="1" applyBorder="1" applyAlignment="1" applyProtection="1">
      <alignment horizontal="left" vertical="center"/>
      <protection locked="0"/>
    </xf>
    <xf numFmtId="164" fontId="6" fillId="4" borderId="14" xfId="3" applyFont="1" applyFill="1" applyBorder="1" applyAlignment="1" applyProtection="1">
      <alignment horizontal="right" vertical="center"/>
      <protection locked="0"/>
    </xf>
    <xf numFmtId="0" fontId="6" fillId="4" borderId="14" xfId="0" applyFont="1" applyFill="1" applyBorder="1" applyAlignment="1" applyProtection="1">
      <alignment vertical="center"/>
      <protection locked="0"/>
    </xf>
    <xf numFmtId="0" fontId="6" fillId="4" borderId="15" xfId="0" applyFont="1" applyFill="1" applyBorder="1" applyAlignment="1" applyProtection="1">
      <alignment vertical="center"/>
      <protection locked="0"/>
    </xf>
    <xf numFmtId="0" fontId="6" fillId="4" borderId="0" xfId="0" applyFont="1" applyFill="1" applyAlignment="1" applyProtection="1">
      <alignment vertical="center"/>
      <protection locked="0"/>
    </xf>
    <xf numFmtId="0" fontId="6" fillId="4" borderId="1" xfId="2" applyFont="1" applyFill="1" applyBorder="1" applyProtection="1">
      <protection locked="0"/>
    </xf>
    <xf numFmtId="0" fontId="10" fillId="6" borderId="2" xfId="0" applyNumberFormat="1" applyFont="1" applyFill="1" applyBorder="1" applyAlignment="1" applyProtection="1">
      <alignment horizontal="center" vertical="center" wrapText="1"/>
    </xf>
    <xf numFmtId="0" fontId="6" fillId="4" borderId="1" xfId="2" applyFont="1" applyFill="1" applyBorder="1" applyAlignment="1" applyProtection="1">
      <alignment horizontal="left" vertical="center" indent="1"/>
      <protection locked="0"/>
    </xf>
    <xf numFmtId="0" fontId="7" fillId="4" borderId="10" xfId="0" applyFont="1" applyFill="1" applyBorder="1" applyAlignment="1" applyProtection="1">
      <alignment horizontal="left" vertical="center"/>
      <protection locked="0"/>
    </xf>
    <xf numFmtId="0" fontId="7" fillId="4" borderId="12" xfId="0" applyFont="1" applyFill="1" applyBorder="1" applyAlignment="1" applyProtection="1">
      <alignment horizontal="left" vertical="center"/>
      <protection locked="0"/>
    </xf>
    <xf numFmtId="0" fontId="7" fillId="4" borderId="15" xfId="0" applyFont="1" applyFill="1" applyBorder="1" applyAlignment="1" applyProtection="1">
      <alignment horizontal="left" vertical="center"/>
      <protection locked="0"/>
    </xf>
    <xf numFmtId="0" fontId="0" fillId="4" borderId="0" xfId="0" applyFill="1"/>
    <xf numFmtId="2" fontId="6" fillId="0" borderId="19" xfId="0" applyNumberFormat="1" applyFont="1" applyBorder="1" applyAlignment="1">
      <alignment horizontal="right" indent="4"/>
    </xf>
    <xf numFmtId="0" fontId="19" fillId="4" borderId="1" xfId="0" applyFont="1" applyFill="1" applyBorder="1"/>
    <xf numFmtId="4" fontId="19" fillId="4" borderId="1" xfId="0" applyNumberFormat="1" applyFont="1" applyFill="1" applyBorder="1"/>
    <xf numFmtId="0" fontId="19" fillId="4" borderId="0" xfId="0" applyFont="1" applyFill="1"/>
    <xf numFmtId="0" fontId="6" fillId="0" borderId="0" xfId="0" applyFont="1"/>
    <xf numFmtId="0" fontId="6" fillId="4" borderId="0" xfId="0" applyFont="1" applyFill="1"/>
    <xf numFmtId="0" fontId="0" fillId="4" borderId="0" xfId="0" applyFill="1" applyAlignment="1">
      <alignment vertical="center"/>
    </xf>
    <xf numFmtId="10" fontId="9" fillId="6" borderId="19" xfId="0" applyNumberFormat="1" applyFont="1" applyFill="1" applyBorder="1" applyAlignment="1">
      <alignment horizontal="right" vertical="center" indent="2"/>
    </xf>
    <xf numFmtId="0" fontId="0" fillId="0" borderId="0" xfId="0" applyAlignment="1">
      <alignment vertical="center"/>
    </xf>
    <xf numFmtId="0" fontId="11" fillId="6" borderId="2" xfId="4" applyNumberFormat="1" applyFont="1" applyFill="1" applyBorder="1" applyAlignment="1" applyProtection="1">
      <alignment horizontal="center" vertical="center" wrapText="1"/>
    </xf>
    <xf numFmtId="0" fontId="11" fillId="6" borderId="3" xfId="4" applyNumberFormat="1" applyFont="1" applyFill="1" applyBorder="1" applyAlignment="1" applyProtection="1">
      <alignment horizontal="center" vertical="center" wrapText="1"/>
    </xf>
    <xf numFmtId="0" fontId="0" fillId="3" borderId="1" xfId="4" applyNumberFormat="1" applyFont="1" applyFill="1" applyBorder="1" applyAlignment="1" applyProtection="1">
      <alignment wrapText="1"/>
      <protection locked="0"/>
    </xf>
    <xf numFmtId="0" fontId="2" fillId="3" borderId="34" xfId="0" applyNumberFormat="1" applyFont="1" applyFill="1" applyBorder="1" applyAlignment="1" applyProtection="1">
      <alignment horizontal="center" vertical="top" wrapText="1"/>
    </xf>
    <xf numFmtId="0" fontId="3" fillId="3" borderId="2" xfId="0" applyNumberFormat="1" applyFont="1" applyFill="1" applyBorder="1" applyAlignment="1" applyProtection="1">
      <alignment horizontal="center" vertical="top" wrapText="1"/>
    </xf>
    <xf numFmtId="0" fontId="3" fillId="3" borderId="5" xfId="0" applyNumberFormat="1" applyFont="1" applyFill="1" applyBorder="1" applyAlignment="1" applyProtection="1">
      <alignment horizontal="left" vertical="top" wrapText="1"/>
    </xf>
    <xf numFmtId="165" fontId="3" fillId="3" borderId="5" xfId="0" applyNumberFormat="1" applyFont="1" applyFill="1" applyBorder="1" applyAlignment="1" applyProtection="1">
      <alignment horizontal="right" vertical="top" wrapText="1"/>
    </xf>
    <xf numFmtId="0" fontId="3" fillId="3" borderId="2" xfId="0" applyNumberFormat="1" applyFont="1" applyFill="1" applyBorder="1" applyAlignment="1" applyProtection="1">
      <alignment horizontal="left" vertical="top" wrapText="1"/>
    </xf>
    <xf numFmtId="165" fontId="3" fillId="3" borderId="2" xfId="0" applyNumberFormat="1" applyFont="1" applyFill="1" applyBorder="1" applyAlignment="1" applyProtection="1">
      <alignment horizontal="right" vertical="top" wrapText="1"/>
    </xf>
    <xf numFmtId="0" fontId="0" fillId="3" borderId="1" xfId="0" applyNumberFormat="1" applyFont="1" applyFill="1" applyBorder="1" applyAlignment="1" applyProtection="1">
      <alignment wrapText="1"/>
      <protection locked="0"/>
    </xf>
    <xf numFmtId="0" fontId="2" fillId="3" borderId="3" xfId="0" applyNumberFormat="1" applyFont="1" applyFill="1" applyBorder="1" applyAlignment="1" applyProtection="1">
      <alignment horizontal="right" vertical="center" wrapText="1"/>
    </xf>
    <xf numFmtId="165" fontId="2" fillId="3" borderId="3" xfId="0" applyNumberFormat="1" applyFont="1" applyFill="1" applyBorder="1" applyAlignment="1" applyProtection="1">
      <alignment horizontal="right" vertical="top" wrapText="1"/>
    </xf>
    <xf numFmtId="0" fontId="2" fillId="3" borderId="2" xfId="0" applyNumberFormat="1" applyFont="1" applyFill="1" applyBorder="1" applyAlignment="1" applyProtection="1">
      <alignment horizontal="right" vertical="center" wrapText="1"/>
    </xf>
    <xf numFmtId="165" fontId="2" fillId="3" borderId="2" xfId="0" applyNumberFormat="1" applyFont="1" applyFill="1" applyBorder="1" applyAlignment="1" applyProtection="1">
      <alignment horizontal="right" vertical="top" wrapText="1"/>
    </xf>
    <xf numFmtId="0" fontId="2" fillId="7" borderId="19" xfId="0" applyNumberFormat="1" applyFont="1" applyFill="1" applyBorder="1" applyAlignment="1" applyProtection="1">
      <alignment horizontal="center" vertical="center" wrapText="1"/>
    </xf>
    <xf numFmtId="4" fontId="5" fillId="7" borderId="19" xfId="0" applyNumberFormat="1" applyFont="1" applyFill="1" applyBorder="1" applyAlignment="1">
      <alignment horizontal="right" indent="4"/>
    </xf>
    <xf numFmtId="4" fontId="5" fillId="7" borderId="19" xfId="0" applyNumberFormat="1" applyFont="1" applyFill="1" applyBorder="1" applyAlignment="1">
      <alignment horizontal="right" indent="5"/>
    </xf>
    <xf numFmtId="0" fontId="6" fillId="0" borderId="0" xfId="0" applyFont="1" applyAlignment="1" applyProtection="1">
      <alignment vertical="center"/>
      <protection locked="0"/>
    </xf>
    <xf numFmtId="0" fontId="6" fillId="9" borderId="0" xfId="0" applyFont="1" applyFill="1" applyAlignment="1" applyProtection="1">
      <alignment vertical="center"/>
      <protection locked="0"/>
    </xf>
    <xf numFmtId="0" fontId="6" fillId="3" borderId="0" xfId="0" applyFont="1" applyFill="1" applyAlignment="1" applyProtection="1">
      <alignment vertical="center"/>
      <protection locked="0"/>
    </xf>
    <xf numFmtId="0" fontId="7" fillId="6" borderId="35" xfId="5" applyFont="1" applyFill="1" applyBorder="1" applyAlignment="1" applyProtection="1">
      <alignment horizontal="center" vertical="center"/>
      <protection locked="0"/>
    </xf>
    <xf numFmtId="0" fontId="7" fillId="6" borderId="36" xfId="5" applyFont="1" applyFill="1" applyBorder="1" applyAlignment="1" applyProtection="1">
      <alignment horizontal="center" vertical="center"/>
      <protection locked="0"/>
    </xf>
    <xf numFmtId="0" fontId="7" fillId="6" borderId="37" xfId="5" applyFont="1" applyFill="1" applyBorder="1" applyAlignment="1" applyProtection="1">
      <alignment horizontal="center" vertical="center"/>
      <protection locked="0"/>
    </xf>
    <xf numFmtId="0" fontId="6" fillId="4" borderId="1" xfId="5" applyFill="1" applyAlignment="1" applyProtection="1">
      <alignment vertical="center"/>
      <protection locked="0"/>
    </xf>
    <xf numFmtId="0" fontId="6" fillId="3" borderId="1" xfId="5" applyAlignment="1" applyProtection="1">
      <alignment vertical="center"/>
      <protection locked="0"/>
    </xf>
    <xf numFmtId="0" fontId="6" fillId="5" borderId="19" xfId="5" applyFont="1" applyFill="1" applyBorder="1" applyAlignment="1" applyProtection="1">
      <alignment horizontal="center" vertical="center"/>
      <protection locked="0"/>
    </xf>
    <xf numFmtId="0" fontId="7" fillId="5" borderId="19" xfId="5" applyFont="1" applyFill="1" applyBorder="1" applyAlignment="1" applyProtection="1">
      <alignment vertical="center"/>
      <protection locked="0"/>
    </xf>
    <xf numFmtId="0" fontId="7" fillId="7" borderId="19" xfId="5" applyFont="1" applyFill="1" applyBorder="1" applyAlignment="1" applyProtection="1">
      <alignment vertical="center"/>
      <protection locked="0"/>
    </xf>
    <xf numFmtId="0" fontId="6" fillId="7" borderId="19" xfId="5" applyFont="1" applyFill="1" applyBorder="1" applyAlignment="1" applyProtection="1">
      <alignment horizontal="center" vertical="center"/>
      <protection locked="0"/>
    </xf>
    <xf numFmtId="0" fontId="7" fillId="6" borderId="19" xfId="5" applyFont="1" applyFill="1" applyBorder="1" applyAlignment="1" applyProtection="1">
      <alignment vertical="center"/>
      <protection locked="0"/>
    </xf>
    <xf numFmtId="0" fontId="6" fillId="3" borderId="44" xfId="5" applyFont="1" applyFill="1" applyBorder="1" applyAlignment="1" applyProtection="1">
      <alignment vertical="center"/>
      <protection locked="0"/>
    </xf>
    <xf numFmtId="0" fontId="6" fillId="3" borderId="44" xfId="5" applyFont="1" applyFill="1" applyBorder="1" applyAlignment="1" applyProtection="1">
      <alignment horizontal="center" vertical="center"/>
      <protection locked="0"/>
    </xf>
    <xf numFmtId="0" fontId="14" fillId="4" borderId="1" xfId="0" applyFont="1" applyFill="1" applyBorder="1" applyAlignment="1" applyProtection="1">
      <alignment vertical="center"/>
      <protection locked="0"/>
    </xf>
    <xf numFmtId="0" fontId="21" fillId="0" borderId="0" xfId="0" applyFont="1"/>
    <xf numFmtId="0" fontId="23" fillId="0" borderId="0" xfId="0" applyFont="1"/>
    <xf numFmtId="0" fontId="24" fillId="6" borderId="2" xfId="0" applyNumberFormat="1" applyFont="1" applyFill="1" applyBorder="1" applyAlignment="1" applyProtection="1">
      <alignment vertical="center" wrapText="1"/>
      <protection locked="0"/>
    </xf>
    <xf numFmtId="0" fontId="24" fillId="6" borderId="3" xfId="0" applyNumberFormat="1" applyFont="1" applyFill="1" applyBorder="1" applyAlignment="1" applyProtection="1">
      <alignment vertical="center" wrapText="1"/>
      <protection locked="0"/>
    </xf>
    <xf numFmtId="0" fontId="23" fillId="0" borderId="19" xfId="0" applyFont="1" applyBorder="1"/>
    <xf numFmtId="0" fontId="25" fillId="3" borderId="49" xfId="0" applyNumberFormat="1" applyFont="1" applyFill="1" applyBorder="1" applyAlignment="1" applyProtection="1">
      <alignment horizontal="center" vertical="center" wrapText="1"/>
      <protection locked="0"/>
    </xf>
    <xf numFmtId="0" fontId="25" fillId="3" borderId="2" xfId="0" applyNumberFormat="1" applyFont="1" applyFill="1" applyBorder="1" applyAlignment="1" applyProtection="1">
      <alignment horizontal="center" vertical="center" wrapText="1"/>
      <protection locked="0"/>
    </xf>
    <xf numFmtId="0" fontId="25" fillId="3" borderId="2" xfId="0" applyNumberFormat="1" applyFont="1" applyFill="1" applyBorder="1" applyAlignment="1" applyProtection="1">
      <alignment vertical="center" wrapText="1"/>
      <protection locked="0"/>
    </xf>
    <xf numFmtId="0" fontId="10" fillId="6" borderId="2" xfId="0" applyNumberFormat="1" applyFont="1" applyFill="1" applyBorder="1" applyAlignment="1" applyProtection="1">
      <alignment horizontal="left" vertical="center" wrapText="1"/>
    </xf>
    <xf numFmtId="0" fontId="10" fillId="6" borderId="7" xfId="0" applyNumberFormat="1" applyFont="1" applyFill="1" applyBorder="1" applyAlignment="1" applyProtection="1">
      <alignment horizontal="left" vertical="center" wrapText="1"/>
      <protection locked="0"/>
    </xf>
    <xf numFmtId="4" fontId="10" fillId="6" borderId="2" xfId="0" applyNumberFormat="1" applyFont="1" applyFill="1" applyBorder="1" applyAlignment="1" applyProtection="1">
      <alignment horizontal="right" vertical="center" wrapText="1"/>
    </xf>
    <xf numFmtId="0" fontId="10" fillId="6" borderId="2" xfId="0" applyNumberFormat="1" applyFont="1" applyFill="1" applyBorder="1" applyAlignment="1" applyProtection="1">
      <alignment vertical="center" wrapText="1"/>
      <protection locked="0"/>
    </xf>
    <xf numFmtId="0" fontId="10" fillId="6" borderId="2" xfId="0" applyNumberFormat="1" applyFont="1" applyFill="1" applyBorder="1" applyAlignment="1" applyProtection="1">
      <alignment horizontal="left" vertical="center" wrapText="1"/>
      <protection locked="0"/>
    </xf>
    <xf numFmtId="0" fontId="13" fillId="3" borderId="2" xfId="0" applyNumberFormat="1" applyFont="1" applyFill="1" applyBorder="1" applyAlignment="1" applyProtection="1">
      <alignment horizontal="left" vertical="center" wrapText="1"/>
    </xf>
    <xf numFmtId="0" fontId="13" fillId="3" borderId="2" xfId="0" applyNumberFormat="1" applyFont="1" applyFill="1" applyBorder="1" applyAlignment="1" applyProtection="1">
      <alignment horizontal="center" vertical="center" wrapText="1"/>
    </xf>
    <xf numFmtId="4" fontId="13" fillId="3" borderId="2" xfId="0" applyNumberFormat="1" applyFont="1" applyFill="1" applyBorder="1" applyAlignment="1" applyProtection="1">
      <alignment horizontal="right" vertical="center" wrapText="1"/>
    </xf>
    <xf numFmtId="0" fontId="10" fillId="3" borderId="2" xfId="0" applyNumberFormat="1" applyFont="1" applyFill="1" applyBorder="1" applyAlignment="1" applyProtection="1">
      <alignment vertical="center" wrapText="1"/>
      <protection locked="0"/>
    </xf>
    <xf numFmtId="0" fontId="10" fillId="3" borderId="7" xfId="0" applyNumberFormat="1" applyFont="1" applyFill="1" applyBorder="1" applyAlignment="1" applyProtection="1">
      <alignment vertical="center" wrapText="1"/>
      <protection locked="0"/>
    </xf>
    <xf numFmtId="0" fontId="10" fillId="3" borderId="49" xfId="0" applyNumberFormat="1" applyFont="1" applyFill="1" applyBorder="1" applyAlignment="1" applyProtection="1">
      <alignment vertical="center" wrapText="1"/>
      <protection locked="0"/>
    </xf>
    <xf numFmtId="0" fontId="26" fillId="6" borderId="49" xfId="0" applyNumberFormat="1" applyFont="1" applyFill="1" applyBorder="1" applyAlignment="1" applyProtection="1">
      <alignment vertical="center" wrapText="1"/>
      <protection locked="0"/>
    </xf>
    <xf numFmtId="0" fontId="13" fillId="6" borderId="49" xfId="0" applyNumberFormat="1" applyFont="1" applyFill="1" applyBorder="1" applyAlignment="1" applyProtection="1">
      <alignment vertical="center" wrapText="1"/>
      <protection locked="0"/>
    </xf>
    <xf numFmtId="0" fontId="13" fillId="6" borderId="7" xfId="0" applyNumberFormat="1" applyFont="1" applyFill="1" applyBorder="1" applyAlignment="1" applyProtection="1">
      <alignment horizontal="left" vertical="center" wrapText="1"/>
      <protection locked="0"/>
    </xf>
    <xf numFmtId="0" fontId="6" fillId="3" borderId="2" xfId="0" applyNumberFormat="1" applyFont="1" applyFill="1" applyBorder="1" applyAlignment="1" applyProtection="1">
      <alignment horizontal="center" vertical="center" wrapText="1"/>
    </xf>
    <xf numFmtId="43" fontId="6" fillId="3" borderId="19" xfId="28" applyFont="1" applyFill="1" applyBorder="1" applyAlignment="1" applyProtection="1">
      <alignment horizontal="center" vertical="center"/>
      <protection locked="0"/>
    </xf>
    <xf numFmtId="43" fontId="6" fillId="4" borderId="1" xfId="28" applyFont="1" applyFill="1" applyBorder="1" applyAlignment="1" applyProtection="1">
      <alignment vertical="center"/>
      <protection locked="0"/>
    </xf>
    <xf numFmtId="43" fontId="7" fillId="4" borderId="9" xfId="28" applyFont="1" applyFill="1" applyBorder="1" applyAlignment="1" applyProtection="1">
      <alignment horizontal="left" vertical="center"/>
      <protection locked="0"/>
    </xf>
    <xf numFmtId="43" fontId="7" fillId="4" borderId="1" xfId="28" applyFont="1" applyFill="1" applyBorder="1" applyAlignment="1" applyProtection="1">
      <alignment horizontal="left" vertical="center"/>
      <protection locked="0"/>
    </xf>
    <xf numFmtId="43" fontId="7" fillId="4" borderId="14" xfId="28" applyFont="1" applyFill="1" applyBorder="1" applyAlignment="1" applyProtection="1">
      <alignment horizontal="left" vertical="center"/>
      <protection locked="0"/>
    </xf>
    <xf numFmtId="43" fontId="7" fillId="6" borderId="36" xfId="28" applyFont="1" applyFill="1" applyBorder="1" applyAlignment="1" applyProtection="1">
      <alignment horizontal="center" vertical="center"/>
      <protection locked="0"/>
    </xf>
    <xf numFmtId="43" fontId="7" fillId="5" borderId="19" xfId="28" applyFont="1" applyFill="1" applyBorder="1" applyAlignment="1" applyProtection="1">
      <alignment vertical="center"/>
      <protection locked="0"/>
    </xf>
    <xf numFmtId="43" fontId="6" fillId="7" borderId="19" xfId="28" applyFont="1" applyFill="1" applyBorder="1" applyAlignment="1" applyProtection="1">
      <alignment vertical="center"/>
      <protection locked="0"/>
    </xf>
    <xf numFmtId="43" fontId="6" fillId="7" borderId="19" xfId="28" applyFont="1" applyFill="1" applyBorder="1" applyAlignment="1" applyProtection="1">
      <alignment horizontal="center" vertical="center"/>
      <protection locked="0"/>
    </xf>
    <xf numFmtId="43" fontId="6" fillId="3" borderId="44" xfId="28" applyFont="1" applyFill="1" applyBorder="1" applyAlignment="1" applyProtection="1">
      <alignment horizontal="center" vertical="center"/>
      <protection locked="0"/>
    </xf>
    <xf numFmtId="0" fontId="6" fillId="4" borderId="1" xfId="5" applyFill="1" applyAlignment="1" applyProtection="1">
      <alignment horizontal="left" vertical="center"/>
      <protection locked="0"/>
    </xf>
    <xf numFmtId="0" fontId="6" fillId="4" borderId="1" xfId="2" applyFill="1" applyAlignment="1" applyProtection="1">
      <alignment vertical="center"/>
      <protection locked="0"/>
    </xf>
    <xf numFmtId="0" fontId="6" fillId="3" borderId="1" xfId="2" applyAlignment="1" applyProtection="1">
      <alignment vertical="center"/>
      <protection locked="0"/>
    </xf>
    <xf numFmtId="0" fontId="6" fillId="3" borderId="38" xfId="5" applyBorder="1" applyAlignment="1" applyProtection="1">
      <alignment vertical="center"/>
      <protection locked="0"/>
    </xf>
    <xf numFmtId="0" fontId="6" fillId="3" borderId="39" xfId="5" applyBorder="1" applyAlignment="1" applyProtection="1">
      <alignment horizontal="center" vertical="center"/>
      <protection locked="0"/>
    </xf>
    <xf numFmtId="43" fontId="6" fillId="3" borderId="39" xfId="28" applyFont="1" applyFill="1" applyBorder="1" applyAlignment="1" applyProtection="1">
      <alignment horizontal="center" vertical="center"/>
      <protection locked="0"/>
    </xf>
    <xf numFmtId="0" fontId="6" fillId="3" borderId="40" xfId="5" applyBorder="1" applyAlignment="1" applyProtection="1">
      <alignment horizontal="left" vertical="center"/>
      <protection locked="0"/>
    </xf>
    <xf numFmtId="0" fontId="7" fillId="5" borderId="41" xfId="5" applyFont="1" applyFill="1" applyBorder="1" applyAlignment="1" applyProtection="1">
      <alignment horizontal="center" vertical="center"/>
      <protection locked="0"/>
    </xf>
    <xf numFmtId="49" fontId="7" fillId="5" borderId="19" xfId="5" applyNumberFormat="1" applyFont="1" applyFill="1" applyBorder="1" applyAlignment="1" applyProtection="1">
      <alignment vertical="center"/>
      <protection locked="0"/>
    </xf>
    <xf numFmtId="164" fontId="0" fillId="5" borderId="42" xfId="3" applyFont="1" applyFill="1" applyBorder="1" applyAlignment="1" applyProtection="1">
      <alignment horizontal="left" vertical="center"/>
      <protection locked="0"/>
    </xf>
    <xf numFmtId="164" fontId="0" fillId="3" borderId="42" xfId="3" applyFont="1" applyBorder="1" applyAlignment="1" applyProtection="1">
      <alignment horizontal="left" vertical="center"/>
      <protection locked="0"/>
    </xf>
    <xf numFmtId="0" fontId="7" fillId="3" borderId="41" xfId="5" applyFont="1" applyBorder="1" applyAlignment="1" applyProtection="1">
      <alignment horizontal="center" vertical="center"/>
      <protection locked="0"/>
    </xf>
    <xf numFmtId="0" fontId="7" fillId="3" borderId="19" xfId="5" applyFont="1" applyFill="1" applyBorder="1" applyAlignment="1" applyProtection="1">
      <alignment vertical="center"/>
      <protection locked="0"/>
    </xf>
    <xf numFmtId="43" fontId="7" fillId="3" borderId="19" xfId="28" applyFont="1" applyFill="1" applyBorder="1" applyAlignment="1" applyProtection="1">
      <alignment vertical="center"/>
      <protection locked="0"/>
    </xf>
    <xf numFmtId="0" fontId="6" fillId="7" borderId="41" xfId="5" applyFont="1" applyFill="1" applyBorder="1" applyAlignment="1" applyProtection="1">
      <alignment horizontal="center" vertical="center"/>
      <protection locked="0"/>
    </xf>
    <xf numFmtId="164" fontId="0" fillId="7" borderId="42" xfId="3" applyFont="1" applyFill="1" applyBorder="1" applyAlignment="1" applyProtection="1">
      <alignment horizontal="left" vertical="center"/>
      <protection locked="0"/>
    </xf>
    <xf numFmtId="43" fontId="6" fillId="3" borderId="19" xfId="28" applyFont="1" applyFill="1" applyBorder="1" applyAlignment="1" applyProtection="1">
      <alignment vertical="center"/>
      <protection locked="0"/>
    </xf>
    <xf numFmtId="164" fontId="0" fillId="7" borderId="42" xfId="3" applyFont="1" applyFill="1" applyBorder="1" applyAlignment="1" applyProtection="1">
      <alignment horizontal="right" vertical="center"/>
      <protection locked="0"/>
    </xf>
    <xf numFmtId="0" fontId="8" fillId="0" borderId="41" xfId="0" applyFont="1" applyBorder="1" applyAlignment="1" applyProtection="1">
      <alignment horizontal="center" vertical="center"/>
      <protection locked="0"/>
    </xf>
    <xf numFmtId="164" fontId="0" fillId="5" borderId="42" xfId="3" applyFont="1" applyFill="1" applyBorder="1" applyAlignment="1" applyProtection="1">
      <alignment horizontal="right" vertical="center"/>
      <protection locked="0"/>
    </xf>
    <xf numFmtId="164" fontId="0" fillId="3" borderId="42" xfId="3" applyFont="1" applyBorder="1" applyAlignment="1" applyProtection="1">
      <alignment horizontal="right" vertical="center"/>
      <protection locked="0"/>
    </xf>
    <xf numFmtId="0" fontId="8" fillId="7" borderId="41" xfId="0" applyFont="1" applyFill="1" applyBorder="1" applyAlignment="1" applyProtection="1">
      <alignment horizontal="center" vertical="center"/>
      <protection locked="0"/>
    </xf>
    <xf numFmtId="2" fontId="6" fillId="4" borderId="1" xfId="5" applyNumberFormat="1" applyFill="1" applyAlignment="1" applyProtection="1">
      <alignment vertical="center"/>
      <protection locked="0"/>
    </xf>
    <xf numFmtId="0" fontId="8" fillId="3" borderId="41" xfId="0" applyFont="1" applyFill="1" applyBorder="1" applyAlignment="1" applyProtection="1">
      <alignment horizontal="center" vertical="center"/>
      <protection locked="0"/>
    </xf>
    <xf numFmtId="0" fontId="6" fillId="3" borderId="19" xfId="5" applyFill="1" applyBorder="1" applyAlignment="1" applyProtection="1">
      <alignment horizontal="center" vertical="center"/>
      <protection locked="0"/>
    </xf>
    <xf numFmtId="0" fontId="6" fillId="5" borderId="19" xfId="5" applyFont="1" applyFill="1" applyBorder="1" applyAlignment="1" applyProtection="1">
      <alignment horizontal="left" vertical="center"/>
      <protection locked="0"/>
    </xf>
    <xf numFmtId="0" fontId="7" fillId="5" borderId="19" xfId="5" applyFont="1" applyFill="1" applyBorder="1" applyAlignment="1" applyProtection="1">
      <alignment horizontal="center" vertical="center"/>
      <protection locked="0"/>
    </xf>
    <xf numFmtId="43" fontId="7" fillId="5" borderId="19" xfId="28" applyFont="1" applyFill="1" applyBorder="1" applyAlignment="1" applyProtection="1">
      <alignment horizontal="center" vertical="center"/>
      <protection locked="0"/>
    </xf>
    <xf numFmtId="164" fontId="0" fillId="3" borderId="42" xfId="3" applyFont="1" applyFill="1" applyBorder="1" applyAlignment="1" applyProtection="1">
      <alignment horizontal="right" vertical="center"/>
      <protection locked="0"/>
    </xf>
    <xf numFmtId="0" fontId="7" fillId="3" borderId="41" xfId="5" applyFont="1" applyBorder="1" applyAlignment="1" applyProtection="1">
      <alignment vertical="center"/>
      <protection locked="0"/>
    </xf>
    <xf numFmtId="0" fontId="6" fillId="3" borderId="19" xfId="5" applyFill="1" applyBorder="1" applyAlignment="1" applyProtection="1">
      <alignment horizontal="left" vertical="center"/>
      <protection locked="0"/>
    </xf>
    <xf numFmtId="0" fontId="7" fillId="5" borderId="19" xfId="5" applyFont="1" applyFill="1" applyBorder="1" applyAlignment="1" applyProtection="1">
      <alignment horizontal="left" vertical="center"/>
      <protection locked="0"/>
    </xf>
    <xf numFmtId="0" fontId="6" fillId="3" borderId="2" xfId="0" applyFont="1" applyFill="1" applyBorder="1" applyAlignment="1" applyProtection="1">
      <alignment horizontal="justify" vertical="center"/>
    </xf>
    <xf numFmtId="0" fontId="6" fillId="5" borderId="12" xfId="5" applyFill="1" applyBorder="1" applyAlignment="1" applyProtection="1">
      <alignment horizontal="right" vertical="center"/>
      <protection locked="0"/>
    </xf>
    <xf numFmtId="0" fontId="7" fillId="6" borderId="41" xfId="5" applyFont="1" applyFill="1" applyBorder="1" applyAlignment="1" applyProtection="1">
      <alignment horizontal="center" vertical="center"/>
      <protection locked="0"/>
    </xf>
    <xf numFmtId="0" fontId="6" fillId="6" borderId="19" xfId="5" applyFill="1" applyBorder="1" applyAlignment="1" applyProtection="1">
      <alignment vertical="center"/>
      <protection locked="0"/>
    </xf>
    <xf numFmtId="43" fontId="6" fillId="6" borderId="19" xfId="28" applyFont="1" applyFill="1" applyBorder="1" applyAlignment="1" applyProtection="1">
      <alignment vertical="center"/>
      <protection locked="0"/>
    </xf>
    <xf numFmtId="164" fontId="0" fillId="6" borderId="42" xfId="3" applyFont="1" applyFill="1" applyBorder="1" applyAlignment="1" applyProtection="1">
      <alignment horizontal="right" vertical="center"/>
      <protection locked="0"/>
    </xf>
    <xf numFmtId="0" fontId="6" fillId="8" borderId="41" xfId="5" applyFont="1" applyFill="1" applyBorder="1" applyAlignment="1" applyProtection="1">
      <alignment horizontal="center" vertical="center"/>
      <protection locked="0"/>
    </xf>
    <xf numFmtId="0" fontId="7" fillId="8" borderId="19" xfId="5" applyFont="1" applyFill="1" applyBorder="1" applyAlignment="1" applyProtection="1">
      <alignment vertical="center"/>
      <protection locked="0"/>
    </xf>
    <xf numFmtId="0" fontId="6" fillId="8" borderId="19" xfId="5" applyFill="1" applyBorder="1" applyAlignment="1" applyProtection="1">
      <alignment vertical="center"/>
      <protection locked="0"/>
    </xf>
    <xf numFmtId="43" fontId="6" fillId="8" borderId="19" xfId="28" applyFont="1" applyFill="1" applyBorder="1" applyAlignment="1" applyProtection="1">
      <alignment vertical="center"/>
      <protection locked="0"/>
    </xf>
    <xf numFmtId="164" fontId="0" fillId="8" borderId="42" xfId="3" applyFont="1" applyFill="1" applyBorder="1" applyAlignment="1" applyProtection="1">
      <alignment horizontal="right" vertical="center"/>
      <protection locked="0"/>
    </xf>
    <xf numFmtId="0" fontId="6" fillId="3" borderId="43" xfId="5" applyFont="1" applyFill="1" applyBorder="1" applyAlignment="1" applyProtection="1">
      <alignment horizontal="center" vertical="center"/>
      <protection locked="0"/>
    </xf>
    <xf numFmtId="0" fontId="7" fillId="3" borderId="46" xfId="5" applyFont="1" applyBorder="1" applyAlignment="1" applyProtection="1">
      <alignment vertical="center"/>
      <protection locked="0"/>
    </xf>
    <xf numFmtId="0" fontId="6" fillId="3" borderId="47" xfId="5" applyFill="1" applyBorder="1" applyAlignment="1" applyProtection="1">
      <alignment vertical="center"/>
      <protection locked="0"/>
    </xf>
    <xf numFmtId="43" fontId="6" fillId="3" borderId="47" xfId="28" applyFont="1" applyFill="1" applyBorder="1" applyAlignment="1" applyProtection="1">
      <alignment vertical="center"/>
      <protection locked="0"/>
    </xf>
    <xf numFmtId="164" fontId="0" fillId="3" borderId="48" xfId="3" applyFont="1" applyBorder="1" applyAlignment="1" applyProtection="1">
      <alignment horizontal="right" vertical="center"/>
      <protection locked="0"/>
    </xf>
    <xf numFmtId="43" fontId="6" fillId="3" borderId="1" xfId="28" applyFont="1" applyFill="1" applyBorder="1" applyAlignment="1" applyProtection="1">
      <alignment vertical="center"/>
      <protection locked="0"/>
    </xf>
    <xf numFmtId="0" fontId="6" fillId="3" borderId="1" xfId="5" applyAlignment="1" applyProtection="1">
      <alignment horizontal="left" vertical="center"/>
      <protection locked="0"/>
    </xf>
    <xf numFmtId="164" fontId="5" fillId="3" borderId="42" xfId="3" applyFont="1" applyBorder="1" applyAlignment="1" applyProtection="1">
      <alignment horizontal="left" vertical="center"/>
      <protection locked="0"/>
    </xf>
    <xf numFmtId="0" fontId="13" fillId="6" borderId="49" xfId="0" applyFont="1" applyFill="1" applyBorder="1" applyAlignment="1" applyProtection="1">
      <alignment vertical="center" wrapText="1"/>
      <protection locked="0"/>
    </xf>
    <xf numFmtId="43" fontId="1" fillId="3" borderId="42" xfId="0" applyNumberFormat="1" applyFont="1" applyFill="1" applyBorder="1" applyAlignment="1">
      <alignment horizontal="right" vertical="center"/>
    </xf>
    <xf numFmtId="4" fontId="1" fillId="3" borderId="42" xfId="0" applyNumberFormat="1" applyFont="1" applyFill="1" applyBorder="1" applyAlignment="1">
      <alignment horizontal="right" vertical="center"/>
    </xf>
    <xf numFmtId="164" fontId="1" fillId="3" borderId="42" xfId="0" applyNumberFormat="1" applyFont="1" applyFill="1" applyBorder="1" applyAlignment="1">
      <alignment horizontal="right" vertical="center"/>
    </xf>
    <xf numFmtId="0" fontId="1" fillId="3" borderId="42" xfId="0" applyFont="1" applyFill="1" applyBorder="1" applyAlignment="1">
      <alignment horizontal="right" vertical="center"/>
    </xf>
    <xf numFmtId="2" fontId="1" fillId="3" borderId="42" xfId="0" applyNumberFormat="1" applyFont="1" applyFill="1" applyBorder="1" applyAlignment="1">
      <alignment horizontal="right" vertical="center"/>
    </xf>
    <xf numFmtId="0" fontId="6" fillId="0" borderId="1" xfId="5" applyFill="1" applyAlignment="1" applyProtection="1">
      <alignment vertical="center"/>
      <protection locked="0"/>
    </xf>
    <xf numFmtId="0" fontId="6" fillId="3" borderId="19" xfId="5" quotePrefix="1" applyFont="1" applyFill="1" applyBorder="1" applyAlignment="1" applyProtection="1">
      <alignment horizontal="center" vertical="center"/>
      <protection locked="0"/>
    </xf>
    <xf numFmtId="0" fontId="6" fillId="4" borderId="1" xfId="5" applyFill="1" applyAlignment="1" applyProtection="1">
      <alignment vertical="center"/>
      <protection locked="0"/>
    </xf>
    <xf numFmtId="0" fontId="6" fillId="3" borderId="1" xfId="5" applyAlignment="1" applyProtection="1">
      <alignment vertical="center"/>
      <protection locked="0"/>
    </xf>
    <xf numFmtId="0" fontId="6" fillId="3" borderId="19" xfId="5" applyFont="1" applyFill="1" applyBorder="1" applyAlignment="1" applyProtection="1">
      <alignment horizontal="center" vertical="center"/>
      <protection locked="0"/>
    </xf>
    <xf numFmtId="0" fontId="6" fillId="7" borderId="19" xfId="5" applyFont="1" applyFill="1" applyBorder="1" applyAlignment="1" applyProtection="1">
      <alignment vertical="center"/>
      <protection locked="0"/>
    </xf>
    <xf numFmtId="43" fontId="6" fillId="3" borderId="19" xfId="34" applyFont="1" applyFill="1" applyBorder="1" applyAlignment="1" applyProtection="1">
      <alignment horizontal="center" vertical="center"/>
      <protection locked="0"/>
    </xf>
    <xf numFmtId="0" fontId="6" fillId="3" borderId="41" xfId="5" applyFont="1" applyBorder="1" applyAlignment="1" applyProtection="1">
      <alignment horizontal="center" vertical="center"/>
      <protection locked="0"/>
    </xf>
    <xf numFmtId="0" fontId="6" fillId="3" borderId="19" xfId="5" applyFont="1" applyFill="1" applyBorder="1" applyAlignment="1" applyProtection="1">
      <alignment vertical="center"/>
      <protection locked="0"/>
    </xf>
    <xf numFmtId="0" fontId="6" fillId="3" borderId="19" xfId="5" applyFill="1" applyBorder="1" applyAlignment="1" applyProtection="1">
      <alignment vertical="center"/>
      <protection locked="0"/>
    </xf>
    <xf numFmtId="0" fontId="6" fillId="3" borderId="19" xfId="5" applyFont="1" applyFill="1" applyBorder="1" applyAlignment="1" applyProtection="1">
      <alignment horizontal="left" vertical="center"/>
      <protection locked="0"/>
    </xf>
    <xf numFmtId="0" fontId="6" fillId="3" borderId="19" xfId="5" applyFont="1" applyFill="1" applyBorder="1" applyAlignment="1" applyProtection="1">
      <alignment horizontal="left" vertical="center" indent="1"/>
      <protection locked="0"/>
    </xf>
    <xf numFmtId="0" fontId="6" fillId="3" borderId="19" xfId="5" applyFont="1" applyFill="1" applyBorder="1" applyAlignment="1" applyProtection="1">
      <alignment horizontal="left" vertical="center" indent="2"/>
      <protection locked="0"/>
    </xf>
    <xf numFmtId="0" fontId="10" fillId="6" borderId="2" xfId="0" applyFont="1" applyFill="1" applyBorder="1" applyAlignment="1" applyProtection="1">
      <alignment vertical="center" wrapText="1"/>
      <protection locked="0"/>
    </xf>
    <xf numFmtId="0" fontId="6" fillId="4" borderId="1" xfId="0" applyFont="1" applyFill="1" applyBorder="1" applyAlignment="1" applyProtection="1">
      <alignment horizontal="left" vertical="center"/>
      <protection locked="0"/>
    </xf>
    <xf numFmtId="0" fontId="7" fillId="0" borderId="19" xfId="0" applyFont="1" applyBorder="1" applyAlignment="1">
      <alignment horizontal="center"/>
    </xf>
    <xf numFmtId="0" fontId="6" fillId="4" borderId="0" xfId="0" applyFont="1" applyFill="1" applyAlignment="1" applyProtection="1">
      <alignment horizontal="center" vertical="center"/>
      <protection locked="0"/>
    </xf>
    <xf numFmtId="0" fontId="6" fillId="4" borderId="0" xfId="0" applyFont="1" applyFill="1" applyAlignment="1" applyProtection="1">
      <alignment horizontal="left" vertical="center"/>
      <protection locked="0"/>
    </xf>
    <xf numFmtId="164" fontId="6" fillId="4" borderId="1" xfId="3" applyFont="1" applyFill="1" applyAlignment="1" applyProtection="1">
      <alignment horizontal="center" vertical="center"/>
      <protection locked="0"/>
    </xf>
    <xf numFmtId="164" fontId="6" fillId="4" borderId="1" xfId="3" applyFont="1" applyFill="1" applyAlignment="1" applyProtection="1">
      <alignment horizontal="right" vertical="center" indent="1"/>
      <protection locked="0"/>
    </xf>
    <xf numFmtId="0" fontId="6" fillId="4" borderId="0" xfId="0" applyFont="1" applyFill="1" applyAlignment="1" applyProtection="1">
      <alignment horizontal="right" vertical="center" indent="1"/>
      <protection locked="0"/>
    </xf>
    <xf numFmtId="0" fontId="7" fillId="4" borderId="9" xfId="0" applyFont="1" applyFill="1" applyBorder="1" applyAlignment="1" applyProtection="1">
      <alignment horizontal="center" vertical="center"/>
      <protection locked="0"/>
    </xf>
    <xf numFmtId="164" fontId="6" fillId="4" borderId="9" xfId="3" applyFont="1" applyFill="1" applyBorder="1" applyAlignment="1" applyProtection="1">
      <alignment horizontal="center" vertical="center"/>
      <protection locked="0"/>
    </xf>
    <xf numFmtId="164" fontId="6" fillId="4" borderId="9" xfId="3" applyFont="1" applyFill="1" applyBorder="1" applyAlignment="1" applyProtection="1">
      <alignment horizontal="right" vertical="center" indent="1"/>
      <protection locked="0"/>
    </xf>
    <xf numFmtId="0" fontId="6" fillId="4" borderId="9" xfId="0" applyFont="1" applyFill="1" applyBorder="1" applyAlignment="1" applyProtection="1">
      <alignment horizontal="right" vertical="center" indent="1"/>
      <protection locked="0"/>
    </xf>
    <xf numFmtId="0" fontId="6" fillId="4" borderId="10" xfId="0" applyFont="1" applyFill="1" applyBorder="1" applyAlignment="1" applyProtection="1">
      <alignment horizontal="right" vertical="center" indent="1"/>
      <protection locked="0"/>
    </xf>
    <xf numFmtId="0" fontId="7" fillId="4" borderId="1" xfId="0" applyFont="1" applyFill="1" applyBorder="1" applyAlignment="1" applyProtection="1">
      <alignment horizontal="center" vertical="center"/>
      <protection locked="0"/>
    </xf>
    <xf numFmtId="164" fontId="6" fillId="4" borderId="1" xfId="3" applyFont="1" applyFill="1" applyBorder="1" applyAlignment="1" applyProtection="1">
      <alignment horizontal="right" vertical="center" indent="1"/>
      <protection locked="0"/>
    </xf>
    <xf numFmtId="0" fontId="6" fillId="4" borderId="1" xfId="0" applyFont="1" applyFill="1" applyBorder="1" applyAlignment="1" applyProtection="1">
      <alignment horizontal="right" vertical="center" indent="1"/>
      <protection locked="0"/>
    </xf>
    <xf numFmtId="0" fontId="6" fillId="4" borderId="12" xfId="0" applyFont="1" applyFill="1" applyBorder="1" applyAlignment="1" applyProtection="1">
      <alignment horizontal="right" vertical="center" indent="1"/>
      <protection locked="0"/>
    </xf>
    <xf numFmtId="0" fontId="7" fillId="4" borderId="14" xfId="0" applyFont="1" applyFill="1" applyBorder="1" applyAlignment="1" applyProtection="1">
      <alignment horizontal="center" vertical="center"/>
      <protection locked="0"/>
    </xf>
    <xf numFmtId="164" fontId="6" fillId="4" borderId="14" xfId="3" applyFont="1" applyFill="1" applyBorder="1" applyAlignment="1" applyProtection="1">
      <alignment horizontal="center" vertical="center"/>
      <protection locked="0"/>
    </xf>
    <xf numFmtId="164" fontId="6" fillId="4" borderId="14" xfId="3" applyFont="1" applyFill="1" applyBorder="1" applyAlignment="1" applyProtection="1">
      <alignment horizontal="right" vertical="center" indent="1"/>
      <protection locked="0"/>
    </xf>
    <xf numFmtId="0" fontId="7" fillId="4" borderId="14" xfId="0" applyFont="1" applyFill="1" applyBorder="1" applyAlignment="1" applyProtection="1">
      <alignment horizontal="right" vertical="center" indent="1"/>
      <protection locked="0"/>
    </xf>
    <xf numFmtId="0" fontId="6" fillId="4" borderId="15" xfId="0" applyFont="1" applyFill="1" applyBorder="1" applyAlignment="1" applyProtection="1">
      <alignment horizontal="right" vertical="center" indent="1"/>
      <protection locked="0"/>
    </xf>
    <xf numFmtId="0" fontId="7" fillId="4" borderId="16" xfId="0" applyFont="1" applyFill="1" applyBorder="1" applyAlignment="1" applyProtection="1">
      <alignment horizontal="left" vertical="center"/>
      <protection locked="0"/>
    </xf>
    <xf numFmtId="0" fontId="7" fillId="4" borderId="17" xfId="0" applyFont="1" applyFill="1" applyBorder="1" applyAlignment="1" applyProtection="1">
      <alignment horizontal="center" vertical="center"/>
      <protection locked="0"/>
    </xf>
    <xf numFmtId="0" fontId="6" fillId="4" borderId="17" xfId="0" applyFont="1" applyFill="1" applyBorder="1" applyAlignment="1" applyProtection="1">
      <alignment horizontal="left" vertical="center"/>
      <protection locked="0"/>
    </xf>
    <xf numFmtId="0" fontId="7" fillId="4" borderId="16" xfId="0" applyFont="1" applyFill="1" applyBorder="1" applyAlignment="1" applyProtection="1">
      <alignment horizontal="center" vertical="center"/>
      <protection locked="0"/>
    </xf>
    <xf numFmtId="10" fontId="6" fillId="4" borderId="18" xfId="1" applyNumberFormat="1" applyFont="1" applyFill="1" applyBorder="1" applyAlignment="1" applyProtection="1">
      <alignment horizontal="center" vertical="center"/>
      <protection locked="0"/>
    </xf>
    <xf numFmtId="0" fontId="10" fillId="9" borderId="20" xfId="0" applyNumberFormat="1" applyFont="1" applyFill="1" applyBorder="1" applyAlignment="1" applyProtection="1">
      <alignment horizontal="center" vertical="center" wrapText="1"/>
    </xf>
    <xf numFmtId="0" fontId="10" fillId="9" borderId="21" xfId="0" applyNumberFormat="1" applyFont="1" applyFill="1" applyBorder="1" applyAlignment="1" applyProtection="1">
      <alignment horizontal="center" vertical="center" wrapText="1"/>
    </xf>
    <xf numFmtId="0" fontId="7" fillId="9" borderId="21" xfId="0" applyNumberFormat="1" applyFont="1" applyFill="1" applyBorder="1" applyAlignment="1" applyProtection="1">
      <alignment horizontal="center" vertical="center" wrapText="1"/>
    </xf>
    <xf numFmtId="0" fontId="10" fillId="9" borderId="22" xfId="0" applyNumberFormat="1" applyFont="1" applyFill="1" applyBorder="1" applyAlignment="1" applyProtection="1">
      <alignment horizontal="center" vertical="center" wrapText="1"/>
    </xf>
    <xf numFmtId="0" fontId="10" fillId="3" borderId="2" xfId="0" applyNumberFormat="1" applyFont="1" applyFill="1" applyBorder="1" applyAlignment="1" applyProtection="1">
      <alignment horizontal="left" vertical="center" wrapText="1"/>
      <protection locked="0"/>
    </xf>
    <xf numFmtId="4" fontId="10" fillId="3" borderId="2" xfId="0" applyNumberFormat="1" applyFont="1" applyFill="1" applyBorder="1" applyAlignment="1" applyProtection="1">
      <alignment horizontal="right" vertical="center" wrapText="1"/>
    </xf>
    <xf numFmtId="0" fontId="10" fillId="3" borderId="7" xfId="0" applyNumberFormat="1" applyFont="1" applyFill="1" applyBorder="1" applyAlignment="1" applyProtection="1">
      <alignment horizontal="left" vertical="center" wrapText="1"/>
      <protection locked="0"/>
    </xf>
    <xf numFmtId="0" fontId="8" fillId="3" borderId="1" xfId="0" applyNumberFormat="1" applyFont="1" applyFill="1" applyBorder="1" applyAlignment="1" applyProtection="1">
      <alignment wrapText="1"/>
      <protection locked="0"/>
    </xf>
    <xf numFmtId="0" fontId="13" fillId="3" borderId="2" xfId="0" applyNumberFormat="1" applyFont="1" applyFill="1" applyBorder="1" applyAlignment="1" applyProtection="1">
      <alignment horizontal="left" vertical="center" wrapText="1"/>
    </xf>
    <xf numFmtId="10" fontId="13" fillId="3" borderId="3" xfId="1" applyNumberFormat="1" applyFont="1" applyFill="1" applyBorder="1" applyAlignment="1" applyProtection="1">
      <alignment horizontal="right" vertical="center" wrapText="1"/>
    </xf>
    <xf numFmtId="4" fontId="13" fillId="2" borderId="2" xfId="0" applyNumberFormat="1" applyFont="1" applyFill="1" applyBorder="1" applyAlignment="1" applyProtection="1">
      <alignment horizontal="right" vertical="center" wrapText="1"/>
    </xf>
    <xf numFmtId="4" fontId="13" fillId="3" borderId="2" xfId="0" applyNumberFormat="1" applyFont="1" applyFill="1" applyBorder="1" applyAlignment="1" applyProtection="1">
      <alignment horizontal="right" vertical="center" wrapText="1"/>
    </xf>
    <xf numFmtId="0" fontId="8" fillId="2" borderId="4" xfId="0" applyNumberFormat="1" applyFont="1" applyFill="1" applyBorder="1" applyAlignment="1" applyProtection="1">
      <alignment wrapText="1"/>
      <protection locked="0"/>
    </xf>
    <xf numFmtId="4" fontId="13" fillId="2" borderId="3" xfId="0" applyNumberFormat="1" applyFont="1" applyFill="1" applyBorder="1" applyAlignment="1" applyProtection="1">
      <alignment horizontal="right" vertical="center" wrapText="1"/>
    </xf>
    <xf numFmtId="0" fontId="8" fillId="2" borderId="6" xfId="0" applyNumberFormat="1" applyFont="1" applyFill="1" applyBorder="1" applyAlignment="1" applyProtection="1">
      <alignment wrapText="1"/>
      <protection locked="0"/>
    </xf>
    <xf numFmtId="0" fontId="6" fillId="3" borderId="1" xfId="5" applyFill="1" applyAlignment="1" applyProtection="1">
      <alignment vertical="center"/>
      <protection locked="0"/>
    </xf>
    <xf numFmtId="0" fontId="6" fillId="3" borderId="1" xfId="2" applyFill="1" applyAlignment="1" applyProtection="1">
      <alignment vertical="center"/>
      <protection locked="0"/>
    </xf>
    <xf numFmtId="164" fontId="6" fillId="3" borderId="1" xfId="5" applyNumberFormat="1" applyFill="1" applyAlignment="1" applyProtection="1">
      <alignment vertical="center"/>
      <protection locked="0"/>
    </xf>
    <xf numFmtId="43" fontId="6" fillId="3" borderId="1" xfId="5" applyNumberFormat="1" applyFill="1" applyAlignment="1" applyProtection="1">
      <alignment vertical="center"/>
      <protection locked="0"/>
    </xf>
    <xf numFmtId="164" fontId="1" fillId="7" borderId="42" xfId="3" applyFont="1" applyFill="1" applyBorder="1" applyAlignment="1" applyProtection="1">
      <alignment horizontal="left" vertical="center"/>
      <protection locked="0"/>
    </xf>
    <xf numFmtId="164" fontId="1" fillId="3" borderId="42" xfId="3" applyFont="1" applyBorder="1" applyAlignment="1" applyProtection="1">
      <alignment horizontal="left" vertical="center"/>
      <protection locked="0"/>
    </xf>
    <xf numFmtId="0" fontId="1" fillId="0" borderId="19" xfId="0" applyFont="1" applyBorder="1" applyAlignment="1">
      <alignment vertical="center"/>
    </xf>
    <xf numFmtId="164" fontId="1" fillId="3" borderId="45" xfId="3" applyFont="1" applyFill="1" applyBorder="1" applyAlignment="1" applyProtection="1">
      <alignment horizontal="right" vertical="center"/>
      <protection locked="0"/>
    </xf>
    <xf numFmtId="0" fontId="1" fillId="3" borderId="1" xfId="32" applyAlignment="1">
      <alignment vertical="center" wrapText="1"/>
    </xf>
    <xf numFmtId="0" fontId="6" fillId="4" borderId="11" xfId="2" applyFont="1" applyFill="1" applyBorder="1" applyAlignment="1" applyProtection="1">
      <alignment vertical="center" wrapText="1"/>
      <protection locked="0"/>
    </xf>
    <xf numFmtId="0" fontId="6" fillId="4" borderId="1" xfId="2" applyFont="1" applyFill="1" applyBorder="1" applyAlignment="1" applyProtection="1">
      <alignment vertical="center" wrapText="1"/>
      <protection locked="0"/>
    </xf>
    <xf numFmtId="0" fontId="6" fillId="4" borderId="1" xfId="2" applyFont="1" applyFill="1" applyBorder="1" applyAlignment="1" applyProtection="1">
      <alignment horizontal="left" vertical="center" wrapText="1"/>
      <protection locked="0"/>
    </xf>
    <xf numFmtId="0" fontId="8" fillId="4" borderId="1" xfId="32" applyFont="1" applyFill="1" applyBorder="1" applyAlignment="1">
      <alignment vertical="center" wrapText="1"/>
    </xf>
    <xf numFmtId="0" fontId="1" fillId="3" borderId="12" xfId="32" applyBorder="1" applyAlignment="1">
      <alignment vertical="center" wrapText="1"/>
    </xf>
    <xf numFmtId="0" fontId="7" fillId="4" borderId="50" xfId="32" applyFont="1" applyFill="1" applyBorder="1" applyAlignment="1" applyProtection="1">
      <alignment vertical="center" wrapText="1"/>
      <protection locked="0"/>
    </xf>
    <xf numFmtId="0" fontId="7" fillId="4" borderId="51" xfId="32" applyFont="1" applyFill="1" applyBorder="1" applyAlignment="1" applyProtection="1">
      <alignment vertical="center" wrapText="1"/>
      <protection locked="0"/>
    </xf>
    <xf numFmtId="0" fontId="7" fillId="4" borderId="51" xfId="32" applyFont="1" applyFill="1" applyBorder="1" applyAlignment="1" applyProtection="1">
      <alignment horizontal="right" vertical="center" wrapText="1"/>
      <protection locked="0"/>
    </xf>
    <xf numFmtId="10" fontId="7" fillId="4" borderId="52" xfId="32" applyNumberFormat="1" applyFont="1" applyFill="1" applyBorder="1" applyAlignment="1" applyProtection="1">
      <alignment vertical="center" wrapText="1"/>
      <protection locked="0"/>
    </xf>
    <xf numFmtId="0" fontId="7" fillId="4" borderId="53" xfId="32" applyFont="1" applyFill="1" applyBorder="1" applyAlignment="1" applyProtection="1">
      <alignment vertical="center" wrapText="1"/>
      <protection locked="0"/>
    </xf>
    <xf numFmtId="0" fontId="7" fillId="4" borderId="32" xfId="32" applyFont="1" applyFill="1" applyBorder="1" applyAlignment="1" applyProtection="1">
      <alignment vertical="center" wrapText="1"/>
      <protection locked="0"/>
    </xf>
    <xf numFmtId="0" fontId="7" fillId="4" borderId="54" xfId="32" applyFont="1" applyFill="1" applyBorder="1" applyAlignment="1" applyProtection="1">
      <alignment vertical="center" wrapText="1"/>
      <protection locked="0"/>
    </xf>
    <xf numFmtId="0" fontId="7" fillId="4" borderId="55" xfId="32" applyFont="1" applyFill="1" applyBorder="1" applyAlignment="1" applyProtection="1">
      <alignment vertical="center" wrapText="1"/>
      <protection locked="0"/>
    </xf>
    <xf numFmtId="0" fontId="7" fillId="4" borderId="55" xfId="32" applyFont="1" applyFill="1" applyBorder="1" applyAlignment="1" applyProtection="1">
      <alignment horizontal="right" vertical="center" wrapText="1"/>
      <protection locked="0"/>
    </xf>
    <xf numFmtId="0" fontId="7" fillId="4" borderId="56" xfId="32" applyFont="1" applyFill="1" applyBorder="1" applyAlignment="1" applyProtection="1">
      <alignment horizontal="right" vertical="center" wrapText="1"/>
      <protection locked="0"/>
    </xf>
    <xf numFmtId="0" fontId="7" fillId="4" borderId="1" xfId="32" applyFont="1" applyFill="1" applyBorder="1" applyAlignment="1" applyProtection="1">
      <alignment horizontal="left" vertical="center" wrapText="1"/>
      <protection locked="0"/>
    </xf>
    <xf numFmtId="0" fontId="8" fillId="4" borderId="1" xfId="32" applyFont="1" applyFill="1" applyAlignment="1">
      <alignment vertical="center" wrapText="1"/>
    </xf>
    <xf numFmtId="0" fontId="0" fillId="11" borderId="57" xfId="32" applyFont="1" applyFill="1" applyBorder="1" applyAlignment="1">
      <alignment horizontal="right" wrapText="1"/>
    </xf>
    <xf numFmtId="0" fontId="1" fillId="3" borderId="9" xfId="32" applyFill="1" applyBorder="1"/>
    <xf numFmtId="0" fontId="0" fillId="11" borderId="9" xfId="32" applyFont="1" applyFill="1" applyBorder="1" applyAlignment="1">
      <alignment horizontal="right" wrapText="1"/>
    </xf>
    <xf numFmtId="0" fontId="0" fillId="3" borderId="9" xfId="32" applyFont="1" applyFill="1" applyBorder="1" applyAlignment="1">
      <alignment wrapText="1"/>
    </xf>
    <xf numFmtId="0" fontId="0" fillId="11" borderId="9" xfId="32" applyFont="1" applyFill="1" applyBorder="1" applyAlignment="1">
      <alignment wrapText="1"/>
    </xf>
    <xf numFmtId="0" fontId="1" fillId="3" borderId="10" xfId="32" applyFill="1" applyBorder="1" applyAlignment="1">
      <alignment horizontal="center"/>
    </xf>
    <xf numFmtId="0" fontId="0" fillId="11" borderId="26" xfId="32" applyFont="1" applyFill="1" applyBorder="1" applyAlignment="1">
      <alignment horizontal="right" wrapText="1"/>
    </xf>
    <xf numFmtId="0" fontId="0" fillId="11" borderId="1" xfId="32" applyFont="1" applyFill="1" applyBorder="1" applyAlignment="1">
      <alignment wrapText="1"/>
    </xf>
    <xf numFmtId="0" fontId="0" fillId="11" borderId="12" xfId="32" applyFont="1" applyFill="1" applyBorder="1" applyAlignment="1">
      <alignment wrapText="1"/>
    </xf>
    <xf numFmtId="0" fontId="0" fillId="11" borderId="58" xfId="32" applyFont="1" applyFill="1" applyBorder="1" applyAlignment="1">
      <alignment horizontal="right" wrapText="1"/>
    </xf>
    <xf numFmtId="0" fontId="1" fillId="3" borderId="14" xfId="32" applyFill="1" applyBorder="1"/>
    <xf numFmtId="0" fontId="0" fillId="11" borderId="14" xfId="32" applyFont="1" applyFill="1" applyBorder="1" applyAlignment="1">
      <alignment wrapText="1"/>
    </xf>
    <xf numFmtId="0" fontId="0" fillId="11" borderId="15" xfId="32" applyFont="1" applyFill="1" applyBorder="1" applyAlignment="1">
      <alignment wrapText="1"/>
    </xf>
    <xf numFmtId="0" fontId="1" fillId="3" borderId="1" xfId="32"/>
    <xf numFmtId="0" fontId="5" fillId="11" borderId="2" xfId="32" applyFont="1" applyFill="1" applyBorder="1" applyAlignment="1">
      <alignment wrapText="1"/>
    </xf>
    <xf numFmtId="0" fontId="5" fillId="11" borderId="2" xfId="32" applyFont="1" applyFill="1" applyBorder="1" applyAlignment="1">
      <alignment horizontal="center" wrapText="1"/>
    </xf>
    <xf numFmtId="0" fontId="5" fillId="11" borderId="2" xfId="32" applyFont="1" applyFill="1" applyBorder="1" applyAlignment="1">
      <alignment horizontal="right" wrapText="1"/>
    </xf>
    <xf numFmtId="0" fontId="1" fillId="3" borderId="2" xfId="32" applyBorder="1" applyAlignment="1">
      <alignment horizontal="left" vertical="top" wrapText="1"/>
    </xf>
    <xf numFmtId="0" fontId="1" fillId="3" borderId="2" xfId="32" applyBorder="1" applyAlignment="1">
      <alignment horizontal="center" vertical="top" wrapText="1"/>
    </xf>
    <xf numFmtId="0" fontId="1" fillId="3" borderId="2" xfId="32" applyBorder="1" applyAlignment="1">
      <alignment horizontal="right" vertical="top" wrapText="1"/>
    </xf>
    <xf numFmtId="166" fontId="1" fillId="3" borderId="2" xfId="34" applyNumberFormat="1" applyFont="1" applyBorder="1" applyAlignment="1">
      <alignment horizontal="right" vertical="top" wrapText="1"/>
    </xf>
    <xf numFmtId="44" fontId="5" fillId="3" borderId="2" xfId="35" applyFont="1" applyBorder="1" applyAlignment="1">
      <alignment horizontal="right" wrapText="1"/>
    </xf>
    <xf numFmtId="166" fontId="1" fillId="3" borderId="2" xfId="32" applyNumberFormat="1" applyBorder="1" applyAlignment="1">
      <alignment horizontal="right" vertical="top" wrapText="1"/>
    </xf>
    <xf numFmtId="43" fontId="1" fillId="3" borderId="2" xfId="34" applyFont="1" applyBorder="1" applyAlignment="1">
      <alignment horizontal="right" wrapText="1"/>
    </xf>
    <xf numFmtId="44" fontId="5" fillId="3" borderId="2" xfId="35" applyNumberFormat="1" applyFont="1" applyBorder="1" applyAlignment="1">
      <alignment horizontal="right" wrapText="1"/>
    </xf>
    <xf numFmtId="0" fontId="1" fillId="3" borderId="2" xfId="32" applyBorder="1" applyAlignment="1">
      <alignment horizontal="center" vertical="center" wrapText="1"/>
    </xf>
    <xf numFmtId="0" fontId="1" fillId="3" borderId="2" xfId="32" applyBorder="1" applyAlignment="1">
      <alignment vertical="center" wrapText="1"/>
    </xf>
    <xf numFmtId="0" fontId="1" fillId="3" borderId="2" xfId="32" applyBorder="1" applyAlignment="1">
      <alignment horizontal="right" vertical="center" wrapText="1"/>
    </xf>
    <xf numFmtId="0" fontId="6" fillId="3" borderId="2" xfId="0" applyNumberFormat="1" applyFont="1" applyFill="1" applyBorder="1" applyAlignment="1" applyProtection="1">
      <alignment horizontal="left" vertical="center" wrapText="1"/>
    </xf>
    <xf numFmtId="0" fontId="6" fillId="3" borderId="19" xfId="5" applyFont="1" applyFill="1" applyBorder="1" applyAlignment="1" applyProtection="1">
      <alignment vertical="center" wrapText="1"/>
      <protection locked="0"/>
    </xf>
    <xf numFmtId="0" fontId="13" fillId="3" borderId="2" xfId="0" applyNumberFormat="1" applyFont="1" applyFill="1" applyBorder="1" applyAlignment="1" applyProtection="1">
      <alignment horizontal="left" vertical="center" wrapText="1"/>
    </xf>
    <xf numFmtId="4" fontId="13" fillId="3" borderId="2" xfId="0" applyNumberFormat="1" applyFont="1" applyFill="1" applyBorder="1" applyAlignment="1" applyProtection="1">
      <alignment horizontal="right" vertical="center" wrapText="1"/>
    </xf>
    <xf numFmtId="167" fontId="6" fillId="3" borderId="19" xfId="28" applyNumberFormat="1" applyFont="1" applyFill="1" applyBorder="1" applyAlignment="1" applyProtection="1">
      <alignment horizontal="center" vertical="center"/>
      <protection locked="0"/>
    </xf>
    <xf numFmtId="0" fontId="13" fillId="3" borderId="2" xfId="0" applyFont="1" applyFill="1" applyBorder="1" applyAlignment="1" applyProtection="1">
      <alignment horizontal="left" vertical="center"/>
    </xf>
    <xf numFmtId="0" fontId="13" fillId="3" borderId="2" xfId="0" applyNumberFormat="1" applyFont="1" applyFill="1" applyBorder="1" applyAlignment="1" applyProtection="1">
      <alignment horizontal="left" vertical="center" wrapText="1"/>
    </xf>
    <xf numFmtId="4" fontId="13" fillId="3" borderId="2" xfId="0" applyNumberFormat="1" applyFont="1" applyFill="1" applyBorder="1" applyAlignment="1" applyProtection="1">
      <alignment horizontal="right" vertical="center" wrapText="1"/>
    </xf>
    <xf numFmtId="4" fontId="13" fillId="0" borderId="2" xfId="0" applyNumberFormat="1" applyFont="1" applyFill="1" applyBorder="1" applyAlignment="1" applyProtection="1">
      <alignment horizontal="right" vertical="center" wrapText="1"/>
    </xf>
    <xf numFmtId="0" fontId="6" fillId="0" borderId="2" xfId="0" applyNumberFormat="1" applyFont="1" applyFill="1" applyBorder="1" applyAlignment="1" applyProtection="1">
      <alignment horizontal="left" vertical="center" wrapText="1"/>
    </xf>
    <xf numFmtId="0" fontId="7" fillId="4" borderId="1" xfId="5" applyFont="1" applyFill="1" applyAlignment="1" applyProtection="1">
      <alignment vertical="center"/>
      <protection locked="0"/>
    </xf>
    <xf numFmtId="0" fontId="7" fillId="3" borderId="19" xfId="5" applyFont="1" applyFill="1" applyBorder="1" applyAlignment="1" applyProtection="1">
      <alignment horizontal="left" vertical="center"/>
      <protection locked="0"/>
    </xf>
    <xf numFmtId="0" fontId="7" fillId="3" borderId="19" xfId="5" applyFont="1" applyFill="1" applyBorder="1" applyAlignment="1" applyProtection="1">
      <alignment horizontal="center" vertical="center"/>
      <protection locked="0"/>
    </xf>
    <xf numFmtId="43" fontId="7" fillId="3" borderId="19" xfId="28" applyFont="1" applyFill="1" applyBorder="1" applyAlignment="1" applyProtection="1">
      <alignment horizontal="center" vertical="center"/>
      <protection locked="0"/>
    </xf>
    <xf numFmtId="0" fontId="7" fillId="0" borderId="1" xfId="5" applyFont="1" applyFill="1" applyAlignment="1" applyProtection="1">
      <alignment vertical="center"/>
      <protection locked="0"/>
    </xf>
    <xf numFmtId="0" fontId="7" fillId="3" borderId="1" xfId="5" applyFont="1" applyAlignment="1" applyProtection="1">
      <alignment vertical="center"/>
      <protection locked="0"/>
    </xf>
    <xf numFmtId="0" fontId="7" fillId="3" borderId="1" xfId="5" applyFont="1" applyFill="1" applyAlignment="1" applyProtection="1">
      <alignment vertical="center"/>
      <protection locked="0"/>
    </xf>
    <xf numFmtId="0" fontId="13" fillId="3" borderId="34" xfId="0" applyNumberFormat="1" applyFont="1" applyFill="1" applyBorder="1" applyAlignment="1" applyProtection="1">
      <alignment horizontal="center" vertical="center" wrapText="1"/>
    </xf>
    <xf numFmtId="0" fontId="0" fillId="3" borderId="2" xfId="32" applyFont="1" applyBorder="1" applyAlignment="1">
      <alignment horizontal="left" vertical="top" wrapText="1"/>
    </xf>
    <xf numFmtId="0" fontId="0" fillId="3" borderId="2" xfId="32" applyFont="1" applyBorder="1" applyAlignment="1">
      <alignment horizontal="center" vertical="top" wrapText="1"/>
    </xf>
    <xf numFmtId="0" fontId="13" fillId="0" borderId="2" xfId="0" applyNumberFormat="1" applyFont="1" applyFill="1" applyBorder="1" applyAlignment="1" applyProtection="1">
      <alignment horizontal="left" vertical="center" wrapText="1"/>
    </xf>
    <xf numFmtId="0" fontId="6" fillId="0" borderId="19" xfId="5" applyFont="1" applyFill="1" applyBorder="1" applyAlignment="1" applyProtection="1">
      <alignment vertical="center" wrapText="1"/>
      <protection locked="0"/>
    </xf>
    <xf numFmtId="0" fontId="6" fillId="3" borderId="19" xfId="5" applyFont="1" applyFill="1" applyBorder="1" applyAlignment="1" applyProtection="1">
      <alignment horizontal="left" vertical="center" wrapText="1" indent="1"/>
      <protection locked="0"/>
    </xf>
    <xf numFmtId="4" fontId="13" fillId="3" borderId="61" xfId="0" applyNumberFormat="1" applyFont="1" applyFill="1" applyBorder="1" applyAlignment="1" applyProtection="1">
      <alignment horizontal="right" vertical="center" wrapText="1"/>
    </xf>
    <xf numFmtId="4" fontId="13" fillId="3" borderId="62" xfId="0" applyNumberFormat="1" applyFont="1" applyFill="1" applyBorder="1" applyAlignment="1" applyProtection="1">
      <alignment horizontal="right" vertical="center" wrapText="1"/>
    </xf>
    <xf numFmtId="43" fontId="1" fillId="3" borderId="2" xfId="28" applyFill="1" applyBorder="1" applyAlignment="1">
      <alignment horizontal="right" vertical="top" wrapText="1"/>
    </xf>
    <xf numFmtId="0" fontId="0" fillId="3" borderId="2" xfId="32" applyFont="1" applyBorder="1" applyAlignment="1">
      <alignment horizontal="left" vertical="top"/>
    </xf>
    <xf numFmtId="0" fontId="13" fillId="0" borderId="2" xfId="0" applyNumberFormat="1" applyFont="1" applyFill="1" applyBorder="1" applyAlignment="1" applyProtection="1">
      <alignment horizontal="center" vertical="center" wrapText="1"/>
    </xf>
    <xf numFmtId="0" fontId="21" fillId="0" borderId="0" xfId="0" applyFont="1" applyFill="1"/>
    <xf numFmtId="0" fontId="0" fillId="3" borderId="10" xfId="32" applyFont="1" applyFill="1" applyBorder="1" applyAlignment="1">
      <alignment horizontal="center"/>
    </xf>
    <xf numFmtId="0" fontId="0" fillId="3" borderId="1" xfId="32" applyFont="1"/>
    <xf numFmtId="0" fontId="0" fillId="3" borderId="14" xfId="32" applyFont="1" applyFill="1" applyBorder="1"/>
    <xf numFmtId="4" fontId="1" fillId="3" borderId="2" xfId="32" applyNumberFormat="1" applyBorder="1" applyAlignment="1">
      <alignment horizontal="right" vertical="top" wrapText="1"/>
    </xf>
    <xf numFmtId="43" fontId="1" fillId="3" borderId="2" xfId="32" applyNumberFormat="1" applyBorder="1" applyAlignment="1">
      <alignment horizontal="right" vertical="top" wrapText="1"/>
    </xf>
    <xf numFmtId="0" fontId="6" fillId="0" borderId="2" xfId="0" applyNumberFormat="1" applyFont="1" applyFill="1" applyBorder="1" applyAlignment="1" applyProtection="1">
      <alignment horizontal="center" vertical="center" wrapText="1"/>
    </xf>
    <xf numFmtId="4" fontId="1" fillId="3" borderId="1" xfId="32" applyNumberFormat="1"/>
    <xf numFmtId="0" fontId="13" fillId="3" borderId="2" xfId="0" applyNumberFormat="1" applyFont="1" applyFill="1" applyBorder="1" applyAlignment="1" applyProtection="1">
      <alignment horizontal="left" vertical="center" wrapText="1"/>
    </xf>
    <xf numFmtId="4" fontId="13" fillId="3" borderId="2" xfId="0" applyNumberFormat="1" applyFont="1" applyFill="1" applyBorder="1" applyAlignment="1" applyProtection="1">
      <alignment horizontal="right" vertical="center" wrapText="1"/>
    </xf>
    <xf numFmtId="0" fontId="7" fillId="0" borderId="19" xfId="5" applyFont="1" applyFill="1" applyBorder="1" applyAlignment="1" applyProtection="1">
      <alignment horizontal="left" vertical="center"/>
      <protection locked="0"/>
    </xf>
    <xf numFmtId="0" fontId="6" fillId="0" borderId="19" xfId="5" applyFont="1" applyFill="1" applyBorder="1" applyAlignment="1" applyProtection="1">
      <alignment horizontal="left" vertical="center" indent="2"/>
      <protection locked="0"/>
    </xf>
    <xf numFmtId="0" fontId="1" fillId="4" borderId="1" xfId="37" applyFill="1"/>
    <xf numFmtId="0" fontId="7" fillId="4" borderId="8" xfId="37" applyFont="1" applyFill="1" applyBorder="1" applyAlignment="1" applyProtection="1">
      <alignment horizontal="left" vertical="center"/>
      <protection locked="0"/>
    </xf>
    <xf numFmtId="0" fontId="7" fillId="4" borderId="9" xfId="37" applyFont="1" applyFill="1" applyBorder="1" applyAlignment="1" applyProtection="1">
      <alignment horizontal="left" vertical="center"/>
      <protection locked="0"/>
    </xf>
    <xf numFmtId="0" fontId="7" fillId="4" borderId="10" xfId="37" applyFont="1" applyFill="1" applyBorder="1" applyAlignment="1" applyProtection="1">
      <alignment horizontal="left" vertical="center"/>
      <protection locked="0"/>
    </xf>
    <xf numFmtId="0" fontId="7" fillId="4" borderId="11" xfId="37" applyFont="1" applyFill="1" applyBorder="1" applyAlignment="1" applyProtection="1">
      <alignment horizontal="left" vertical="center"/>
      <protection locked="0"/>
    </xf>
    <xf numFmtId="0" fontId="7" fillId="4" borderId="1" xfId="37" applyFont="1" applyFill="1" applyBorder="1" applyAlignment="1" applyProtection="1">
      <alignment horizontal="left" vertical="center"/>
      <protection locked="0"/>
    </xf>
    <xf numFmtId="0" fontId="7" fillId="4" borderId="12" xfId="37" applyFont="1" applyFill="1" applyBorder="1" applyAlignment="1" applyProtection="1">
      <alignment horizontal="left" vertical="center"/>
      <protection locked="0"/>
    </xf>
    <xf numFmtId="0" fontId="7" fillId="4" borderId="13" xfId="37" applyFont="1" applyFill="1" applyBorder="1" applyAlignment="1" applyProtection="1">
      <alignment horizontal="left" vertical="center"/>
      <protection locked="0"/>
    </xf>
    <xf numFmtId="0" fontId="7" fillId="4" borderId="14" xfId="37" applyFont="1" applyFill="1" applyBorder="1" applyAlignment="1" applyProtection="1">
      <alignment horizontal="left" vertical="center"/>
      <protection locked="0"/>
    </xf>
    <xf numFmtId="0" fontId="7" fillId="4" borderId="15" xfId="37" applyFont="1" applyFill="1" applyBorder="1" applyAlignment="1" applyProtection="1">
      <alignment horizontal="left" vertical="center"/>
      <protection locked="0"/>
    </xf>
    <xf numFmtId="0" fontId="1" fillId="3" borderId="1" xfId="37"/>
    <xf numFmtId="0" fontId="14" fillId="4" borderId="1" xfId="37" applyFont="1" applyFill="1" applyBorder="1" applyAlignment="1" applyProtection="1">
      <alignment vertical="center"/>
      <protection locked="0"/>
    </xf>
    <xf numFmtId="0" fontId="7" fillId="3" borderId="19" xfId="37" applyFont="1" applyBorder="1" applyAlignment="1">
      <alignment horizontal="center"/>
    </xf>
    <xf numFmtId="2" fontId="6" fillId="3" borderId="19" xfId="37" applyNumberFormat="1" applyFont="1" applyBorder="1" applyAlignment="1">
      <alignment horizontal="right" indent="4"/>
    </xf>
    <xf numFmtId="0" fontId="19" fillId="4" borderId="1" xfId="37" applyFont="1" applyFill="1" applyBorder="1"/>
    <xf numFmtId="4" fontId="19" fillId="4" borderId="1" xfId="37" applyNumberFormat="1" applyFont="1" applyFill="1" applyBorder="1"/>
    <xf numFmtId="0" fontId="19" fillId="4" borderId="1" xfId="37" applyFont="1" applyFill="1"/>
    <xf numFmtId="0" fontId="6" fillId="3" borderId="1" xfId="37" applyFont="1"/>
    <xf numFmtId="0" fontId="6" fillId="4" borderId="1" xfId="37" applyFont="1" applyFill="1"/>
    <xf numFmtId="0" fontId="1" fillId="4" borderId="1" xfId="37" applyFill="1" applyAlignment="1">
      <alignment vertical="center"/>
    </xf>
    <xf numFmtId="10" fontId="9" fillId="6" borderId="19" xfId="37" applyNumberFormat="1" applyFont="1" applyFill="1" applyBorder="1" applyAlignment="1">
      <alignment horizontal="right" vertical="center" indent="2"/>
    </xf>
    <xf numFmtId="0" fontId="1" fillId="3" borderId="1" xfId="37" applyAlignment="1">
      <alignment vertical="center"/>
    </xf>
    <xf numFmtId="43" fontId="6" fillId="0" borderId="19" xfId="28" applyFont="1" applyFill="1" applyBorder="1" applyAlignment="1" applyProtection="1">
      <alignment horizontal="center" vertical="center"/>
      <protection locked="0"/>
    </xf>
    <xf numFmtId="0" fontId="6" fillId="3" borderId="19" xfId="5" applyFill="1" applyBorder="1" applyAlignment="1" applyProtection="1">
      <alignment vertical="center" wrapText="1"/>
      <protection locked="0"/>
    </xf>
    <xf numFmtId="164" fontId="5" fillId="3" borderId="42" xfId="3" applyFont="1" applyBorder="1" applyAlignment="1" applyProtection="1">
      <alignment horizontal="right" vertical="center"/>
      <protection locked="0"/>
    </xf>
    <xf numFmtId="0" fontId="13" fillId="0" borderId="7" xfId="0" applyNumberFormat="1" applyFont="1" applyFill="1" applyBorder="1" applyAlignment="1" applyProtection="1">
      <alignment horizontal="left" vertical="center" wrapText="1"/>
    </xf>
    <xf numFmtId="168" fontId="6" fillId="3" borderId="19" xfId="28" applyNumberFormat="1" applyFont="1" applyFill="1" applyBorder="1" applyAlignment="1" applyProtection="1">
      <alignment horizontal="center" vertical="center"/>
      <protection locked="0"/>
    </xf>
    <xf numFmtId="4" fontId="13" fillId="3" borderId="2" xfId="0" applyNumberFormat="1" applyFont="1" applyFill="1" applyBorder="1" applyAlignment="1" applyProtection="1">
      <alignment horizontal="right" vertical="center" wrapText="1"/>
    </xf>
    <xf numFmtId="164" fontId="6" fillId="4" borderId="16" xfId="3" applyFont="1" applyFill="1" applyBorder="1" applyAlignment="1" applyProtection="1">
      <alignment vertical="center"/>
      <protection locked="0"/>
    </xf>
    <xf numFmtId="164" fontId="6" fillId="4" borderId="18" xfId="3" applyFont="1" applyFill="1" applyBorder="1" applyAlignment="1" applyProtection="1">
      <alignment vertical="center"/>
      <protection locked="0"/>
    </xf>
    <xf numFmtId="10" fontId="6" fillId="4" borderId="16" xfId="1" applyNumberFormat="1" applyFont="1" applyFill="1" applyBorder="1" applyAlignment="1" applyProtection="1">
      <alignment vertical="center"/>
      <protection locked="0"/>
    </xf>
    <xf numFmtId="0" fontId="7" fillId="4" borderId="19" xfId="32" applyFont="1" applyFill="1" applyBorder="1" applyAlignment="1" applyProtection="1">
      <alignment horizontal="right" vertical="center" wrapText="1"/>
      <protection locked="0"/>
    </xf>
    <xf numFmtId="10" fontId="7" fillId="4" borderId="19" xfId="32" applyNumberFormat="1" applyFont="1" applyFill="1" applyBorder="1" applyAlignment="1" applyProtection="1">
      <alignment vertical="center" wrapText="1"/>
      <protection locked="0"/>
    </xf>
    <xf numFmtId="10" fontId="7" fillId="4" borderId="42" xfId="32" applyNumberFormat="1" applyFont="1" applyFill="1" applyBorder="1" applyAlignment="1" applyProtection="1">
      <alignment vertical="center" wrapText="1"/>
      <protection locked="0"/>
    </xf>
    <xf numFmtId="0" fontId="5" fillId="0" borderId="19" xfId="0" applyFont="1" applyBorder="1" applyAlignment="1">
      <alignment horizontal="center" vertical="center" wrapText="1"/>
    </xf>
    <xf numFmtId="44" fontId="5" fillId="0" borderId="19" xfId="38" applyFont="1" applyBorder="1" applyAlignment="1">
      <alignment horizontal="center"/>
    </xf>
    <xf numFmtId="0" fontId="0" fillId="0" borderId="19" xfId="0" applyBorder="1"/>
    <xf numFmtId="44" fontId="0" fillId="0" borderId="47" xfId="38" applyFont="1" applyBorder="1"/>
    <xf numFmtId="0" fontId="0" fillId="0" borderId="47" xfId="0" applyBorder="1"/>
    <xf numFmtId="0" fontId="5" fillId="0" borderId="44" xfId="0" applyFont="1" applyBorder="1" applyAlignment="1">
      <alignment horizontal="center"/>
    </xf>
    <xf numFmtId="0" fontId="0" fillId="0" borderId="65" xfId="0" applyBorder="1"/>
    <xf numFmtId="0" fontId="13" fillId="3" borderId="2" xfId="0" applyNumberFormat="1" applyFont="1" applyFill="1" applyBorder="1" applyAlignment="1" applyProtection="1">
      <alignment horizontal="left" vertical="center" wrapText="1"/>
    </xf>
    <xf numFmtId="4" fontId="13" fillId="3" borderId="2" xfId="0" applyNumberFormat="1" applyFont="1" applyFill="1" applyBorder="1" applyAlignment="1" applyProtection="1">
      <alignment horizontal="right" vertical="center" wrapText="1"/>
    </xf>
    <xf numFmtId="0" fontId="13" fillId="3" borderId="2" xfId="0" applyNumberFormat="1" applyFont="1" applyFill="1" applyBorder="1" applyAlignment="1" applyProtection="1">
      <alignment horizontal="left" vertical="center" wrapText="1"/>
    </xf>
    <xf numFmtId="4" fontId="13" fillId="3" borderId="2" xfId="0" applyNumberFormat="1" applyFont="1" applyFill="1" applyBorder="1" applyAlignment="1" applyProtection="1">
      <alignment horizontal="right" vertical="center" wrapText="1"/>
    </xf>
    <xf numFmtId="0" fontId="13" fillId="3" borderId="1" xfId="0" applyNumberFormat="1" applyFont="1" applyFill="1" applyBorder="1" applyAlignment="1" applyProtection="1">
      <alignment horizontal="left" vertical="center" wrapText="1"/>
    </xf>
    <xf numFmtId="0" fontId="13" fillId="3" borderId="1" xfId="0" applyNumberFormat="1" applyFont="1" applyFill="1" applyBorder="1" applyAlignment="1" applyProtection="1">
      <alignment horizontal="center" vertical="center" wrapText="1"/>
    </xf>
    <xf numFmtId="4" fontId="13" fillId="3" borderId="1" xfId="0" applyNumberFormat="1" applyFont="1" applyFill="1" applyBorder="1" applyAlignment="1" applyProtection="1">
      <alignment horizontal="right" vertical="center" wrapText="1"/>
    </xf>
    <xf numFmtId="2" fontId="1" fillId="3" borderId="19" xfId="0" applyNumberFormat="1" applyFont="1" applyFill="1" applyBorder="1" applyAlignment="1">
      <alignment horizontal="right" vertical="center" wrapText="1" indent="1"/>
    </xf>
    <xf numFmtId="2" fontId="1" fillId="3" borderId="69" xfId="0" applyNumberFormat="1" applyFont="1" applyFill="1" applyBorder="1" applyAlignment="1">
      <alignment horizontal="right" vertical="center" wrapText="1" indent="1"/>
    </xf>
    <xf numFmtId="2" fontId="1" fillId="3" borderId="42" xfId="0" applyNumberFormat="1" applyFont="1" applyFill="1" applyBorder="1" applyAlignment="1">
      <alignment horizontal="right" vertical="center" wrapText="1" indent="1"/>
    </xf>
    <xf numFmtId="0" fontId="7" fillId="3" borderId="19" xfId="5" applyFont="1" applyFill="1" applyBorder="1" applyAlignment="1" applyProtection="1">
      <alignment vertical="center" wrapText="1"/>
      <protection locked="0"/>
    </xf>
    <xf numFmtId="0" fontId="0" fillId="0" borderId="1" xfId="32" applyFont="1" applyFill="1" applyBorder="1" applyAlignment="1"/>
    <xf numFmtId="0" fontId="1" fillId="0" borderId="1" xfId="32" applyFill="1" applyBorder="1" applyAlignment="1"/>
    <xf numFmtId="0" fontId="0" fillId="0" borderId="1" xfId="32" applyFont="1" applyFill="1" applyBorder="1" applyAlignment="1">
      <alignment wrapText="1"/>
    </xf>
    <xf numFmtId="2" fontId="1" fillId="3" borderId="32" xfId="0" applyNumberFormat="1" applyFont="1" applyFill="1" applyBorder="1" applyAlignment="1">
      <alignment horizontal="right" vertical="center" wrapText="1" indent="1"/>
    </xf>
    <xf numFmtId="0" fontId="6" fillId="3" borderId="44" xfId="5" applyFont="1" applyFill="1" applyBorder="1" applyAlignment="1" applyProtection="1">
      <alignment vertical="center" wrapText="1"/>
      <protection locked="0"/>
    </xf>
    <xf numFmtId="0" fontId="6" fillId="3" borderId="44" xfId="5" applyFont="1" applyFill="1" applyBorder="1" applyAlignment="1" applyProtection="1">
      <alignment horizontal="center" vertical="center" wrapText="1"/>
      <protection locked="0"/>
    </xf>
    <xf numFmtId="2" fontId="1" fillId="3" borderId="44" xfId="0" applyNumberFormat="1" applyFont="1" applyFill="1" applyBorder="1" applyAlignment="1">
      <alignment horizontal="right" vertical="center" wrapText="1" indent="1"/>
    </xf>
    <xf numFmtId="2" fontId="1" fillId="3" borderId="24" xfId="0" applyNumberFormat="1" applyFont="1" applyFill="1" applyBorder="1" applyAlignment="1">
      <alignment horizontal="right" vertical="center" wrapText="1" indent="1"/>
    </xf>
    <xf numFmtId="2" fontId="1" fillId="3" borderId="45" xfId="0" applyNumberFormat="1" applyFont="1" applyFill="1" applyBorder="1" applyAlignment="1">
      <alignment horizontal="right" vertical="center" wrapText="1" indent="1"/>
    </xf>
    <xf numFmtId="43" fontId="6" fillId="3" borderId="44" xfId="28" applyFont="1" applyFill="1" applyBorder="1" applyAlignment="1" applyProtection="1">
      <alignment horizontal="center" vertical="center" wrapText="1"/>
      <protection locked="0"/>
    </xf>
    <xf numFmtId="2" fontId="5" fillId="3" borderId="42" xfId="0" applyNumberFormat="1" applyFont="1" applyFill="1" applyBorder="1" applyAlignment="1">
      <alignment horizontal="right" vertical="center" wrapText="1" indent="1"/>
    </xf>
    <xf numFmtId="0" fontId="7" fillId="3" borderId="43" xfId="5" applyFont="1" applyFill="1" applyBorder="1" applyAlignment="1" applyProtection="1">
      <alignment horizontal="center" vertical="center"/>
      <protection locked="0"/>
    </xf>
    <xf numFmtId="0" fontId="7" fillId="3" borderId="44" xfId="5" applyFont="1" applyFill="1" applyBorder="1" applyAlignment="1" applyProtection="1">
      <alignment horizontal="center" vertical="center"/>
      <protection locked="0"/>
    </xf>
    <xf numFmtId="43" fontId="7" fillId="3" borderId="44" xfId="28" applyFont="1" applyFill="1" applyBorder="1" applyAlignment="1" applyProtection="1">
      <alignment horizontal="center" vertical="center"/>
      <protection locked="0"/>
    </xf>
    <xf numFmtId="0" fontId="7" fillId="3" borderId="24" xfId="5" applyFont="1" applyFill="1" applyBorder="1" applyAlignment="1" applyProtection="1">
      <alignment vertical="center"/>
      <protection locked="0"/>
    </xf>
    <xf numFmtId="164" fontId="5" fillId="3" borderId="45" xfId="3" applyFont="1" applyFill="1" applyBorder="1" applyAlignment="1" applyProtection="1">
      <alignment horizontal="right" vertical="center"/>
      <protection locked="0"/>
    </xf>
    <xf numFmtId="0" fontId="7" fillId="3" borderId="44" xfId="5" applyFont="1" applyFill="1" applyBorder="1" applyAlignment="1" applyProtection="1">
      <alignment vertical="center"/>
      <protection locked="0"/>
    </xf>
    <xf numFmtId="0" fontId="7" fillId="3" borderId="23" xfId="5" applyFont="1" applyFill="1" applyBorder="1" applyAlignment="1" applyProtection="1">
      <alignment vertical="center"/>
      <protection locked="0"/>
    </xf>
    <xf numFmtId="0" fontId="7" fillId="3" borderId="44" xfId="5" applyFont="1" applyFill="1" applyBorder="1" applyAlignment="1" applyProtection="1">
      <alignment vertical="center" wrapText="1"/>
      <protection locked="0"/>
    </xf>
    <xf numFmtId="0" fontId="7" fillId="3" borderId="44" xfId="5" applyFont="1" applyFill="1" applyBorder="1" applyAlignment="1" applyProtection="1">
      <alignment horizontal="center" vertical="center" wrapText="1"/>
      <protection locked="0"/>
    </xf>
    <xf numFmtId="43" fontId="7" fillId="3" borderId="44" xfId="28" applyFont="1" applyFill="1" applyBorder="1" applyAlignment="1" applyProtection="1">
      <alignment horizontal="center" vertical="center" wrapText="1"/>
      <protection locked="0"/>
    </xf>
    <xf numFmtId="0" fontId="7" fillId="0" borderId="2" xfId="0" applyNumberFormat="1" applyFont="1" applyFill="1" applyBorder="1" applyAlignment="1" applyProtection="1">
      <alignment horizontal="left" vertical="center" wrapText="1"/>
    </xf>
    <xf numFmtId="0" fontId="10" fillId="6" borderId="3" xfId="0" applyNumberFormat="1" applyFont="1" applyFill="1" applyBorder="1" applyAlignment="1" applyProtection="1">
      <alignment horizontal="left" vertical="center" wrapText="1"/>
    </xf>
    <xf numFmtId="0" fontId="10" fillId="6" borderId="3" xfId="0" applyNumberFormat="1" applyFont="1" applyFill="1" applyBorder="1" applyAlignment="1" applyProtection="1">
      <alignment vertical="center" wrapText="1"/>
      <protection locked="0"/>
    </xf>
    <xf numFmtId="0" fontId="10" fillId="6" borderId="3" xfId="0" applyFont="1" applyFill="1" applyBorder="1" applyAlignment="1" applyProtection="1">
      <alignment vertical="center" wrapText="1"/>
      <protection locked="0"/>
    </xf>
    <xf numFmtId="0" fontId="10" fillId="6" borderId="70" xfId="0" applyNumberFormat="1" applyFont="1" applyFill="1" applyBorder="1" applyAlignment="1" applyProtection="1">
      <alignment horizontal="left" vertical="center" wrapText="1"/>
      <protection locked="0"/>
    </xf>
    <xf numFmtId="4" fontId="10" fillId="6" borderId="3" xfId="0" applyNumberFormat="1" applyFont="1" applyFill="1" applyBorder="1" applyAlignment="1" applyProtection="1">
      <alignment horizontal="right" vertical="center" wrapText="1"/>
    </xf>
    <xf numFmtId="0" fontId="13" fillId="3" borderId="2" xfId="0" applyNumberFormat="1" applyFont="1" applyFill="1" applyBorder="1" applyAlignment="1" applyProtection="1">
      <alignment horizontal="left" vertical="center" wrapText="1"/>
    </xf>
    <xf numFmtId="0" fontId="6" fillId="3" borderId="2" xfId="0" applyNumberFormat="1" applyFont="1" applyFill="1" applyBorder="1" applyAlignment="1" applyProtection="1">
      <alignment horizontal="left" vertical="center" wrapText="1"/>
    </xf>
    <xf numFmtId="0" fontId="7" fillId="6" borderId="2" xfId="0" applyNumberFormat="1" applyFont="1" applyFill="1" applyBorder="1" applyAlignment="1" applyProtection="1">
      <alignment horizontal="left" vertical="center" wrapText="1"/>
    </xf>
    <xf numFmtId="0" fontId="6" fillId="6" borderId="2" xfId="0" applyNumberFormat="1" applyFont="1" applyFill="1" applyBorder="1" applyAlignment="1" applyProtection="1">
      <alignment horizontal="left" vertical="center" wrapText="1"/>
    </xf>
    <xf numFmtId="0" fontId="7" fillId="3" borderId="2" xfId="0" applyNumberFormat="1" applyFont="1" applyFill="1" applyBorder="1" applyAlignment="1" applyProtection="1">
      <alignment horizontal="left" vertical="center" wrapText="1"/>
    </xf>
    <xf numFmtId="0" fontId="8" fillId="3" borderId="1" xfId="39" applyFont="1"/>
    <xf numFmtId="0" fontId="8" fillId="3" borderId="1" xfId="39" applyNumberFormat="1" applyFont="1" applyFill="1" applyBorder="1" applyAlignment="1" applyProtection="1">
      <alignment wrapText="1"/>
      <protection locked="0"/>
    </xf>
    <xf numFmtId="4" fontId="13" fillId="3" borderId="2" xfId="39" applyNumberFormat="1" applyFont="1" applyFill="1" applyBorder="1" applyAlignment="1" applyProtection="1">
      <alignment horizontal="right" vertical="center" wrapText="1"/>
    </xf>
    <xf numFmtId="0" fontId="13" fillId="3" borderId="2" xfId="39" applyNumberFormat="1" applyFont="1" applyFill="1" applyBorder="1" applyAlignment="1" applyProtection="1">
      <alignment horizontal="center" vertical="center" wrapText="1"/>
    </xf>
    <xf numFmtId="0" fontId="13" fillId="3" borderId="2" xfId="39" applyNumberFormat="1" applyFont="1" applyFill="1" applyBorder="1" applyAlignment="1" applyProtection="1">
      <alignment horizontal="left" vertical="center" wrapText="1"/>
    </xf>
    <xf numFmtId="4" fontId="10" fillId="6" borderId="2" xfId="39" applyNumberFormat="1" applyFont="1" applyFill="1" applyBorder="1" applyAlignment="1" applyProtection="1">
      <alignment horizontal="right" vertical="center" wrapText="1"/>
    </xf>
    <xf numFmtId="0" fontId="10" fillId="6" borderId="2" xfId="39" applyNumberFormat="1" applyFont="1" applyFill="1" applyBorder="1" applyAlignment="1" applyProtection="1">
      <alignment horizontal="left" vertical="center" wrapText="1"/>
      <protection locked="0"/>
    </xf>
    <xf numFmtId="0" fontId="10" fillId="6" borderId="2" xfId="39" applyNumberFormat="1" applyFont="1" applyFill="1" applyBorder="1" applyAlignment="1" applyProtection="1">
      <alignment horizontal="left" vertical="center" wrapText="1"/>
    </xf>
    <xf numFmtId="0" fontId="6" fillId="3" borderId="2" xfId="39" applyNumberFormat="1" applyFont="1" applyFill="1" applyBorder="1" applyAlignment="1" applyProtection="1">
      <alignment horizontal="center" vertical="center" wrapText="1"/>
    </xf>
    <xf numFmtId="0" fontId="6" fillId="3" borderId="2" xfId="39" applyNumberFormat="1" applyFont="1" applyFill="1" applyBorder="1" applyAlignment="1" applyProtection="1">
      <alignment horizontal="left" vertical="center" wrapText="1"/>
    </xf>
    <xf numFmtId="4" fontId="10" fillId="3" borderId="2" xfId="39" applyNumberFormat="1" applyFont="1" applyFill="1" applyBorder="1" applyAlignment="1" applyProtection="1">
      <alignment horizontal="right" vertical="center" wrapText="1"/>
    </xf>
    <xf numFmtId="0" fontId="29" fillId="3" borderId="2" xfId="39" applyNumberFormat="1" applyFont="1" applyFill="1" applyBorder="1" applyAlignment="1" applyProtection="1">
      <alignment horizontal="left" vertical="center" wrapText="1"/>
    </xf>
    <xf numFmtId="0" fontId="30" fillId="3" borderId="1" xfId="39" applyFont="1"/>
    <xf numFmtId="4" fontId="6" fillId="3" borderId="2" xfId="39" applyNumberFormat="1" applyFont="1" applyFill="1" applyBorder="1" applyAlignment="1" applyProtection="1">
      <alignment horizontal="right" vertical="center" wrapText="1"/>
    </xf>
    <xf numFmtId="0" fontId="10" fillId="3" borderId="2" xfId="39" applyNumberFormat="1" applyFont="1" applyFill="1" applyBorder="1" applyAlignment="1" applyProtection="1">
      <alignment horizontal="left" vertical="center" wrapText="1"/>
      <protection locked="0"/>
    </xf>
    <xf numFmtId="10" fontId="8" fillId="3" borderId="1" xfId="30" applyNumberFormat="1" applyFont="1"/>
    <xf numFmtId="0" fontId="6" fillId="3" borderId="1" xfId="5" applyFill="1" applyProtection="1">
      <protection locked="0"/>
    </xf>
    <xf numFmtId="0" fontId="6" fillId="3" borderId="1" xfId="5" applyFill="1" applyAlignment="1" applyProtection="1">
      <alignment horizontal="left" indent="1"/>
      <protection locked="0"/>
    </xf>
    <xf numFmtId="43" fontId="6" fillId="3" borderId="1" xfId="34" applyFont="1" applyFill="1" applyBorder="1" applyProtection="1">
      <protection locked="0"/>
    </xf>
    <xf numFmtId="43" fontId="6" fillId="3" borderId="1" xfId="34" applyFont="1" applyFill="1" applyBorder="1" applyAlignment="1" applyProtection="1">
      <alignment horizontal="left" indent="1"/>
      <protection locked="0"/>
    </xf>
    <xf numFmtId="0" fontId="6" fillId="3" borderId="1" xfId="5" applyFill="1" applyBorder="1" applyAlignment="1" applyProtection="1">
      <alignment horizontal="left" indent="1"/>
      <protection locked="0"/>
    </xf>
    <xf numFmtId="0" fontId="6" fillId="3" borderId="9" xfId="5" applyFill="1" applyBorder="1" applyAlignment="1" applyProtection="1">
      <alignment horizontal="left" indent="1"/>
      <protection locked="0"/>
    </xf>
    <xf numFmtId="43" fontId="6" fillId="3" borderId="9" xfId="34" applyFont="1" applyFill="1" applyBorder="1" applyAlignment="1" applyProtection="1">
      <alignment horizontal="left" indent="1"/>
      <protection locked="0"/>
    </xf>
    <xf numFmtId="164" fontId="1" fillId="3" borderId="48" xfId="3" applyFont="1" applyFill="1" applyBorder="1" applyAlignment="1" applyProtection="1">
      <alignment horizontal="right" indent="1"/>
      <protection locked="0"/>
    </xf>
    <xf numFmtId="164" fontId="1" fillId="3" borderId="56" xfId="3" applyFont="1" applyFill="1" applyBorder="1" applyAlignment="1" applyProtection="1">
      <alignment horizontal="right" indent="1"/>
      <protection locked="0"/>
    </xf>
    <xf numFmtId="43" fontId="1" fillId="3" borderId="47" xfId="34" applyFont="1" applyFill="1" applyBorder="1" applyAlignment="1" applyProtection="1">
      <alignment horizontal="right" indent="1"/>
      <protection locked="0"/>
    </xf>
    <xf numFmtId="0" fontId="6" fillId="3" borderId="47" xfId="5" applyFill="1" applyBorder="1" applyProtection="1">
      <protection locked="0"/>
    </xf>
    <xf numFmtId="0" fontId="6" fillId="3" borderId="47" xfId="5" applyFont="1" applyFill="1" applyBorder="1" applyAlignment="1" applyProtection="1">
      <alignment horizontal="center" vertical="center"/>
      <protection locked="0"/>
    </xf>
    <xf numFmtId="0" fontId="6" fillId="3" borderId="47" xfId="5" applyFont="1" applyFill="1" applyBorder="1" applyAlignment="1" applyProtection="1">
      <alignment vertical="center"/>
      <protection locked="0"/>
    </xf>
    <xf numFmtId="0" fontId="6" fillId="3" borderId="46" xfId="5" applyFont="1" applyFill="1" applyBorder="1" applyAlignment="1" applyProtection="1">
      <alignment horizontal="center"/>
      <protection locked="0"/>
    </xf>
    <xf numFmtId="164" fontId="0" fillId="3" borderId="42" xfId="3" applyFont="1" applyFill="1" applyBorder="1" applyAlignment="1" applyProtection="1">
      <alignment horizontal="right" indent="1"/>
      <protection locked="0"/>
    </xf>
    <xf numFmtId="164" fontId="0" fillId="3" borderId="69" xfId="3" applyFont="1" applyFill="1" applyBorder="1" applyAlignment="1" applyProtection="1">
      <alignment horizontal="right" indent="1"/>
      <protection locked="0"/>
    </xf>
    <xf numFmtId="43" fontId="0" fillId="3" borderId="19" xfId="34" applyFont="1" applyFill="1" applyBorder="1" applyAlignment="1" applyProtection="1">
      <alignment horizontal="right" indent="1"/>
      <protection locked="0"/>
    </xf>
    <xf numFmtId="0" fontId="7" fillId="3" borderId="41" xfId="5" applyFont="1" applyFill="1" applyBorder="1" applyAlignment="1" applyProtection="1">
      <alignment horizontal="center"/>
      <protection locked="0"/>
    </xf>
    <xf numFmtId="0" fontId="6" fillId="3" borderId="42" xfId="5" applyFill="1" applyBorder="1" applyAlignment="1" applyProtection="1">
      <alignment horizontal="right" indent="1"/>
      <protection locked="0"/>
    </xf>
    <xf numFmtId="0" fontId="6" fillId="3" borderId="19" xfId="5" applyFont="1" applyFill="1" applyBorder="1" applyAlignment="1" applyProtection="1">
      <alignment horizontal="center" vertical="center" wrapText="1"/>
      <protection locked="0"/>
    </xf>
    <xf numFmtId="0" fontId="6" fillId="3" borderId="41" xfId="5" applyFont="1" applyFill="1" applyBorder="1" applyAlignment="1" applyProtection="1">
      <alignment horizontal="center"/>
      <protection locked="0"/>
    </xf>
    <xf numFmtId="0" fontId="6" fillId="3" borderId="12" xfId="5" applyFill="1" applyBorder="1" applyAlignment="1" applyProtection="1">
      <alignment horizontal="right" indent="1"/>
      <protection locked="0"/>
    </xf>
    <xf numFmtId="43" fontId="6" fillId="3" borderId="67" xfId="34" applyFont="1" applyFill="1" applyBorder="1" applyAlignment="1" applyProtection="1">
      <alignment horizontal="right" indent="1"/>
      <protection locked="0"/>
    </xf>
    <xf numFmtId="43" fontId="6" fillId="3" borderId="27" xfId="34" applyFont="1" applyFill="1" applyBorder="1" applyAlignment="1" applyProtection="1">
      <alignment horizontal="right" indent="1"/>
      <protection locked="0"/>
    </xf>
    <xf numFmtId="0" fontId="7" fillId="3" borderId="19" xfId="5" applyFont="1" applyFill="1" applyBorder="1" applyAlignment="1" applyProtection="1">
      <alignment horizontal="left" vertical="center" indent="1"/>
      <protection locked="0"/>
    </xf>
    <xf numFmtId="0" fontId="6" fillId="3" borderId="19" xfId="5" applyFill="1" applyBorder="1" applyProtection="1">
      <protection locked="0"/>
    </xf>
    <xf numFmtId="0" fontId="6" fillId="3" borderId="19" xfId="5" applyFill="1" applyBorder="1" applyAlignment="1" applyProtection="1">
      <alignment horizontal="left" indent="1"/>
      <protection locked="0"/>
    </xf>
    <xf numFmtId="0" fontId="6" fillId="3" borderId="1" xfId="5" applyFill="1" applyAlignment="1" applyProtection="1">
      <alignment vertical="center" wrapText="1"/>
      <protection locked="0"/>
    </xf>
    <xf numFmtId="164" fontId="0" fillId="3" borderId="42" xfId="3" applyFont="1" applyFill="1" applyBorder="1" applyAlignment="1" applyProtection="1">
      <alignment horizontal="right" vertical="center" wrapText="1" indent="1"/>
      <protection locked="0"/>
    </xf>
    <xf numFmtId="164" fontId="0" fillId="3" borderId="69" xfId="3" applyFont="1" applyFill="1" applyBorder="1" applyAlignment="1" applyProtection="1">
      <alignment horizontal="right" vertical="center" wrapText="1" indent="1"/>
      <protection locked="0"/>
    </xf>
    <xf numFmtId="43" fontId="0" fillId="3" borderId="19" xfId="34" applyFont="1" applyFill="1" applyBorder="1" applyAlignment="1" applyProtection="1">
      <alignment horizontal="right" vertical="center" wrapText="1" indent="1"/>
      <protection locked="0"/>
    </xf>
    <xf numFmtId="0" fontId="6" fillId="3" borderId="41" xfId="5" applyFont="1" applyFill="1" applyBorder="1" applyAlignment="1" applyProtection="1">
      <alignment horizontal="center" vertical="center" wrapText="1"/>
      <protection locked="0"/>
    </xf>
    <xf numFmtId="0" fontId="7" fillId="3" borderId="1" xfId="5" applyFont="1" applyFill="1" applyAlignment="1" applyProtection="1">
      <alignment vertical="center" wrapText="1"/>
      <protection locked="0"/>
    </xf>
    <xf numFmtId="164" fontId="5" fillId="3" borderId="42" xfId="3" applyFont="1" applyFill="1" applyBorder="1" applyAlignment="1" applyProtection="1">
      <alignment horizontal="right" vertical="center" wrapText="1" indent="1"/>
      <protection locked="0"/>
    </xf>
    <xf numFmtId="164" fontId="5" fillId="3" borderId="69" xfId="3" applyFont="1" applyFill="1" applyBorder="1" applyAlignment="1" applyProtection="1">
      <alignment horizontal="right" vertical="center" wrapText="1" indent="1"/>
      <protection locked="0"/>
    </xf>
    <xf numFmtId="43" fontId="5" fillId="3" borderId="19" xfId="34" applyFont="1" applyFill="1" applyBorder="1" applyAlignment="1" applyProtection="1">
      <alignment horizontal="right" vertical="center" wrapText="1" indent="1"/>
      <protection locked="0"/>
    </xf>
    <xf numFmtId="0" fontId="7" fillId="3" borderId="19" xfId="5" applyFont="1" applyFill="1" applyBorder="1" applyAlignment="1" applyProtection="1">
      <alignment horizontal="center" vertical="center" wrapText="1"/>
      <protection locked="0"/>
    </xf>
    <xf numFmtId="0" fontId="7" fillId="3" borderId="41" xfId="5" applyFont="1" applyFill="1" applyBorder="1" applyAlignment="1" applyProtection="1">
      <alignment horizontal="center" vertical="center" wrapText="1"/>
      <protection locked="0"/>
    </xf>
    <xf numFmtId="0" fontId="1" fillId="3" borderId="42" xfId="32" applyFont="1" applyFill="1" applyBorder="1" applyAlignment="1">
      <alignment horizontal="right" vertical="center" wrapText="1" indent="1"/>
    </xf>
    <xf numFmtId="0" fontId="1" fillId="3" borderId="69" xfId="32" applyFont="1" applyFill="1" applyBorder="1" applyAlignment="1">
      <alignment horizontal="right" vertical="center" wrapText="1" indent="1"/>
    </xf>
    <xf numFmtId="43" fontId="1" fillId="3" borderId="19" xfId="34" applyFont="1" applyFill="1" applyBorder="1" applyAlignment="1">
      <alignment horizontal="right" vertical="center" wrapText="1" indent="1"/>
    </xf>
    <xf numFmtId="43" fontId="1" fillId="3" borderId="42" xfId="32" applyNumberFormat="1" applyFont="1" applyFill="1" applyBorder="1" applyAlignment="1">
      <alignment horizontal="right" vertical="center" wrapText="1" indent="1"/>
    </xf>
    <xf numFmtId="0" fontId="8" fillId="3" borderId="41" xfId="32" applyFont="1" applyFill="1" applyBorder="1" applyAlignment="1" applyProtection="1">
      <alignment horizontal="center" vertical="center" wrapText="1"/>
      <protection locked="0"/>
    </xf>
    <xf numFmtId="0" fontId="7" fillId="3" borderId="1" xfId="5" applyFont="1" applyFill="1" applyProtection="1">
      <protection locked="0"/>
    </xf>
    <xf numFmtId="43" fontId="5" fillId="3" borderId="42" xfId="32" applyNumberFormat="1" applyFont="1" applyFill="1" applyBorder="1" applyAlignment="1">
      <alignment horizontal="right" vertical="center" wrapText="1" indent="1"/>
    </xf>
    <xf numFmtId="0" fontId="5" fillId="3" borderId="69" xfId="32" applyFont="1" applyFill="1" applyBorder="1" applyAlignment="1">
      <alignment horizontal="right" vertical="center" wrapText="1" indent="1"/>
    </xf>
    <xf numFmtId="0" fontId="5" fillId="3" borderId="19" xfId="32" applyFont="1" applyFill="1" applyBorder="1" applyAlignment="1">
      <alignment horizontal="right" vertical="center" wrapText="1" indent="1"/>
    </xf>
    <xf numFmtId="0" fontId="30" fillId="3" borderId="41" xfId="32" applyFont="1" applyFill="1" applyBorder="1" applyAlignment="1" applyProtection="1">
      <alignment horizontal="center" vertical="center" wrapText="1"/>
      <protection locked="0"/>
    </xf>
    <xf numFmtId="4" fontId="1" fillId="3" borderId="42" xfId="32" applyNumberFormat="1" applyFont="1" applyFill="1" applyBorder="1" applyAlignment="1">
      <alignment horizontal="right" vertical="center" wrapText="1" indent="1"/>
    </xf>
    <xf numFmtId="4" fontId="1" fillId="3" borderId="69" xfId="32" applyNumberFormat="1" applyFont="1" applyFill="1" applyBorder="1" applyAlignment="1">
      <alignment horizontal="right" vertical="center" wrapText="1" indent="1"/>
    </xf>
    <xf numFmtId="4" fontId="0" fillId="3" borderId="19" xfId="32" applyNumberFormat="1" applyFont="1" applyFill="1" applyBorder="1" applyAlignment="1">
      <alignment horizontal="right" vertical="center" wrapText="1" indent="1"/>
    </xf>
    <xf numFmtId="4" fontId="1" fillId="3" borderId="19" xfId="32" applyNumberFormat="1" applyFont="1" applyFill="1" applyBorder="1" applyAlignment="1">
      <alignment horizontal="right" vertical="center" wrapText="1" indent="1"/>
    </xf>
    <xf numFmtId="2" fontId="5" fillId="3" borderId="42" xfId="32" applyNumberFormat="1" applyFont="1" applyFill="1" applyBorder="1" applyAlignment="1">
      <alignment horizontal="right" vertical="center" wrapText="1" indent="1"/>
    </xf>
    <xf numFmtId="0" fontId="6" fillId="3" borderId="1" xfId="5" applyFont="1" applyFill="1" applyProtection="1">
      <protection locked="0"/>
    </xf>
    <xf numFmtId="0" fontId="0" fillId="3" borderId="42" xfId="32" applyFont="1" applyFill="1" applyBorder="1" applyAlignment="1">
      <alignment horizontal="right" vertical="center" wrapText="1" indent="1"/>
    </xf>
    <xf numFmtId="0" fontId="0" fillId="3" borderId="69" xfId="32" applyFont="1" applyFill="1" applyBorder="1" applyAlignment="1">
      <alignment horizontal="right" vertical="center" wrapText="1" indent="1"/>
    </xf>
    <xf numFmtId="0" fontId="0" fillId="3" borderId="19" xfId="32" applyFont="1" applyFill="1" applyBorder="1" applyAlignment="1">
      <alignment horizontal="right" vertical="center" wrapText="1" indent="1"/>
    </xf>
    <xf numFmtId="2" fontId="1" fillId="3" borderId="42" xfId="32" applyNumberFormat="1" applyFont="1" applyFill="1" applyBorder="1" applyAlignment="1">
      <alignment horizontal="right" vertical="center" wrapText="1" indent="1"/>
    </xf>
    <xf numFmtId="2" fontId="1" fillId="3" borderId="69" xfId="32" applyNumberFormat="1" applyFont="1" applyFill="1" applyBorder="1" applyAlignment="1">
      <alignment horizontal="right" vertical="center" wrapText="1" indent="1"/>
    </xf>
    <xf numFmtId="2" fontId="1" fillId="3" borderId="19" xfId="32" applyNumberFormat="1" applyFont="1" applyFill="1" applyBorder="1" applyAlignment="1">
      <alignment horizontal="right" vertical="center" wrapText="1" indent="1"/>
    </xf>
    <xf numFmtId="2" fontId="5" fillId="3" borderId="69" xfId="32" applyNumberFormat="1" applyFont="1" applyFill="1" applyBorder="1" applyAlignment="1">
      <alignment horizontal="right" vertical="center" wrapText="1" indent="1"/>
    </xf>
    <xf numFmtId="2" fontId="5" fillId="3" borderId="19" xfId="32" applyNumberFormat="1" applyFont="1" applyFill="1" applyBorder="1" applyAlignment="1">
      <alignment horizontal="right" vertical="center" wrapText="1" indent="1"/>
    </xf>
    <xf numFmtId="2" fontId="0" fillId="3" borderId="69" xfId="32" applyNumberFormat="1" applyFont="1" applyFill="1" applyBorder="1" applyAlignment="1">
      <alignment horizontal="right" vertical="center" wrapText="1" indent="1"/>
    </xf>
    <xf numFmtId="1" fontId="1" fillId="3" borderId="19" xfId="32" applyNumberFormat="1" applyFont="1" applyFill="1" applyBorder="1" applyAlignment="1">
      <alignment horizontal="right" vertical="center" wrapText="1" indent="1"/>
    </xf>
    <xf numFmtId="2" fontId="0" fillId="3" borderId="69" xfId="32" applyNumberFormat="1" applyFont="1" applyFill="1" applyBorder="1" applyAlignment="1">
      <alignment vertical="center" wrapText="1"/>
    </xf>
    <xf numFmtId="4" fontId="5" fillId="3" borderId="42" xfId="32" applyNumberFormat="1" applyFont="1" applyFill="1" applyBorder="1" applyAlignment="1">
      <alignment horizontal="right" vertical="center" wrapText="1" indent="1"/>
    </xf>
    <xf numFmtId="4" fontId="5" fillId="3" borderId="69" xfId="32" applyNumberFormat="1" applyFont="1" applyFill="1" applyBorder="1" applyAlignment="1">
      <alignment horizontal="right" vertical="center" wrapText="1" indent="1"/>
    </xf>
    <xf numFmtId="4" fontId="5" fillId="3" borderId="19" xfId="32" applyNumberFormat="1" applyFont="1" applyFill="1" applyBorder="1" applyAlignment="1">
      <alignment horizontal="right" vertical="center" wrapText="1" indent="1"/>
    </xf>
    <xf numFmtId="164" fontId="0" fillId="3" borderId="19" xfId="3" applyFont="1" applyFill="1" applyBorder="1" applyAlignment="1" applyProtection="1">
      <alignment horizontal="right" indent="1"/>
      <protection locked="0"/>
    </xf>
    <xf numFmtId="4" fontId="0" fillId="3" borderId="42" xfId="32" applyNumberFormat="1" applyFont="1" applyFill="1" applyBorder="1" applyAlignment="1">
      <alignment horizontal="right" vertical="center" wrapText="1" indent="1"/>
    </xf>
    <xf numFmtId="4" fontId="0" fillId="3" borderId="69" xfId="32" applyNumberFormat="1" applyFont="1" applyFill="1" applyBorder="1" applyAlignment="1">
      <alignment horizontal="right" vertical="center" wrapText="1" indent="1"/>
    </xf>
    <xf numFmtId="0" fontId="6" fillId="3" borderId="19" xfId="5" quotePrefix="1" applyFont="1" applyFill="1" applyBorder="1" applyAlignment="1" applyProtection="1">
      <alignment vertical="center" wrapText="1"/>
      <protection locked="0"/>
    </xf>
    <xf numFmtId="0" fontId="1" fillId="3" borderId="19" xfId="32" applyFont="1" applyFill="1" applyBorder="1" applyAlignment="1">
      <alignment horizontal="right" vertical="center" wrapText="1" indent="1"/>
    </xf>
    <xf numFmtId="0" fontId="5" fillId="3" borderId="42" xfId="32" applyFont="1" applyFill="1" applyBorder="1" applyAlignment="1">
      <alignment horizontal="right" vertical="center" wrapText="1" indent="1"/>
    </xf>
    <xf numFmtId="164" fontId="5" fillId="3" borderId="42" xfId="3" applyFont="1" applyFill="1" applyBorder="1" applyAlignment="1" applyProtection="1">
      <alignment horizontal="right" indent="1"/>
      <protection locked="0"/>
    </xf>
    <xf numFmtId="164" fontId="5" fillId="3" borderId="69" xfId="3" applyFont="1" applyFill="1" applyBorder="1" applyAlignment="1" applyProtection="1">
      <alignment horizontal="right" indent="1"/>
      <protection locked="0"/>
    </xf>
    <xf numFmtId="164" fontId="5" fillId="3" borderId="19" xfId="3" applyFont="1" applyFill="1" applyBorder="1" applyAlignment="1" applyProtection="1">
      <alignment horizontal="right" indent="1"/>
      <protection locked="0"/>
    </xf>
    <xf numFmtId="4" fontId="22" fillId="3" borderId="42" xfId="32" applyNumberFormat="1" applyFont="1" applyFill="1" applyBorder="1" applyAlignment="1">
      <alignment horizontal="right" vertical="center" wrapText="1" indent="1"/>
    </xf>
    <xf numFmtId="4" fontId="22" fillId="3" borderId="69" xfId="32" applyNumberFormat="1" applyFont="1" applyFill="1" applyBorder="1" applyAlignment="1">
      <alignment horizontal="right" vertical="center" wrapText="1" indent="1"/>
    </xf>
    <xf numFmtId="4" fontId="22" fillId="3" borderId="19" xfId="32" applyNumberFormat="1" applyFont="1" applyFill="1" applyBorder="1" applyAlignment="1">
      <alignment horizontal="right" vertical="center" wrapText="1" indent="1"/>
    </xf>
    <xf numFmtId="0" fontId="6" fillId="3" borderId="41" xfId="32" applyFont="1" applyFill="1" applyBorder="1" applyAlignment="1" applyProtection="1">
      <alignment horizontal="center" vertical="center" wrapText="1"/>
      <protection locked="0"/>
    </xf>
    <xf numFmtId="4" fontId="32" fillId="3" borderId="42" xfId="32" applyNumberFormat="1" applyFont="1" applyFill="1" applyBorder="1" applyAlignment="1">
      <alignment horizontal="right" vertical="center" wrapText="1" indent="1"/>
    </xf>
    <xf numFmtId="4" fontId="32" fillId="3" borderId="69" xfId="32" applyNumberFormat="1" applyFont="1" applyFill="1" applyBorder="1" applyAlignment="1">
      <alignment horizontal="right" vertical="center" wrapText="1" indent="1"/>
    </xf>
    <xf numFmtId="4" fontId="32" fillId="3" borderId="19" xfId="32" applyNumberFormat="1" applyFont="1" applyFill="1" applyBorder="1" applyAlignment="1">
      <alignment horizontal="right" vertical="center" wrapText="1" indent="1"/>
    </xf>
    <xf numFmtId="0" fontId="7" fillId="3" borderId="41" xfId="32" applyFont="1" applyFill="1" applyBorder="1" applyAlignment="1" applyProtection="1">
      <alignment horizontal="center" vertical="center" wrapText="1"/>
      <protection locked="0"/>
    </xf>
    <xf numFmtId="9" fontId="6" fillId="3" borderId="19" xfId="5" applyNumberFormat="1" applyFont="1" applyFill="1" applyBorder="1" applyAlignment="1" applyProtection="1">
      <alignment vertical="center" wrapText="1"/>
      <protection locked="0"/>
    </xf>
    <xf numFmtId="164" fontId="0" fillId="3" borderId="42" xfId="3" applyFont="1" applyFill="1" applyBorder="1" applyAlignment="1" applyProtection="1">
      <alignment horizontal="left" indent="1"/>
      <protection locked="0"/>
    </xf>
    <xf numFmtId="164" fontId="0" fillId="3" borderId="69" xfId="3" applyFont="1" applyFill="1" applyBorder="1" applyAlignment="1" applyProtection="1">
      <alignment horizontal="left" indent="1"/>
      <protection locked="0"/>
    </xf>
    <xf numFmtId="164" fontId="0" fillId="3" borderId="19" xfId="3" applyFont="1" applyFill="1" applyBorder="1" applyAlignment="1" applyProtection="1">
      <alignment horizontal="left" indent="1"/>
      <protection locked="0"/>
    </xf>
    <xf numFmtId="0" fontId="6" fillId="3" borderId="19" xfId="5" applyFont="1" applyFill="1" applyBorder="1" applyProtection="1">
      <protection locked="0"/>
    </xf>
    <xf numFmtId="0" fontId="7" fillId="3" borderId="19" xfId="5" applyFont="1" applyFill="1" applyBorder="1" applyProtection="1">
      <protection locked="0"/>
    </xf>
    <xf numFmtId="164" fontId="0" fillId="3" borderId="42" xfId="3" applyFont="1" applyFill="1" applyBorder="1" applyAlignment="1" applyProtection="1">
      <alignment horizontal="left" vertical="center" wrapText="1" indent="1"/>
      <protection locked="0"/>
    </xf>
    <xf numFmtId="164" fontId="0" fillId="3" borderId="69" xfId="3" applyFont="1" applyFill="1" applyBorder="1" applyAlignment="1" applyProtection="1">
      <alignment horizontal="left" vertical="center" wrapText="1" indent="1"/>
      <protection locked="0"/>
    </xf>
    <xf numFmtId="164" fontId="0" fillId="3" borderId="19" xfId="3" applyFont="1" applyFill="1" applyBorder="1" applyAlignment="1" applyProtection="1">
      <alignment horizontal="left" vertical="center" wrapText="1" indent="1"/>
      <protection locked="0"/>
    </xf>
    <xf numFmtId="0" fontId="6" fillId="3" borderId="1" xfId="32" applyFont="1" applyFill="1" applyBorder="1" applyAlignment="1" applyProtection="1">
      <alignment vertical="center" wrapText="1"/>
      <protection locked="0"/>
    </xf>
    <xf numFmtId="164" fontId="5" fillId="3" borderId="42" xfId="3" applyFont="1" applyFill="1" applyBorder="1" applyAlignment="1" applyProtection="1">
      <alignment horizontal="left" vertical="center" wrapText="1" indent="1"/>
      <protection locked="0"/>
    </xf>
    <xf numFmtId="164" fontId="5" fillId="3" borderId="69" xfId="3" applyFont="1" applyFill="1" applyBorder="1" applyAlignment="1" applyProtection="1">
      <alignment horizontal="left" vertical="center" wrapText="1" indent="1"/>
      <protection locked="0"/>
    </xf>
    <xf numFmtId="164" fontId="5" fillId="3" borderId="19" xfId="3" applyFont="1" applyFill="1" applyBorder="1" applyAlignment="1" applyProtection="1">
      <alignment horizontal="left" vertical="center" wrapText="1" indent="1"/>
      <protection locked="0"/>
    </xf>
    <xf numFmtId="0" fontId="7" fillId="3" borderId="1" xfId="32" applyFont="1" applyFill="1" applyBorder="1" applyAlignment="1" applyProtection="1">
      <alignment vertical="center" wrapText="1"/>
      <protection locked="0"/>
    </xf>
    <xf numFmtId="49" fontId="7" fillId="3" borderId="19" xfId="5" applyNumberFormat="1" applyFont="1" applyFill="1" applyBorder="1" applyAlignment="1" applyProtection="1">
      <alignment vertical="center" wrapText="1"/>
      <protection locked="0"/>
    </xf>
    <xf numFmtId="164" fontId="0" fillId="3" borderId="42" xfId="3" applyNumberFormat="1" applyFont="1" applyFill="1" applyBorder="1" applyAlignment="1" applyProtection="1">
      <alignment horizontal="left" vertical="center" wrapText="1" indent="1"/>
      <protection locked="0"/>
    </xf>
    <xf numFmtId="164" fontId="0" fillId="3" borderId="69" xfId="3" quotePrefix="1" applyFont="1" applyFill="1" applyBorder="1" applyAlignment="1" applyProtection="1">
      <alignment horizontal="left" vertical="center" wrapText="1" indent="1"/>
      <protection locked="0"/>
    </xf>
    <xf numFmtId="0" fontId="6" fillId="3" borderId="2" xfId="32" applyNumberFormat="1" applyFont="1" applyFill="1" applyBorder="1" applyAlignment="1" applyProtection="1">
      <alignment horizontal="justify" vertical="center" wrapText="1"/>
    </xf>
    <xf numFmtId="164" fontId="5" fillId="3" borderId="42" xfId="3" applyFont="1" applyFill="1" applyBorder="1" applyAlignment="1" applyProtection="1">
      <alignment horizontal="left" indent="1"/>
      <protection locked="0"/>
    </xf>
    <xf numFmtId="164" fontId="5" fillId="3" borderId="69" xfId="3" applyFont="1" applyFill="1" applyBorder="1" applyAlignment="1" applyProtection="1">
      <alignment horizontal="left" indent="1"/>
      <protection locked="0"/>
    </xf>
    <xf numFmtId="164" fontId="5" fillId="3" borderId="19" xfId="3" applyFont="1" applyFill="1" applyBorder="1" applyAlignment="1" applyProtection="1">
      <alignment horizontal="left" indent="1"/>
      <protection locked="0"/>
    </xf>
    <xf numFmtId="49" fontId="7" fillId="3" borderId="19" xfId="5" applyNumberFormat="1" applyFont="1" applyFill="1" applyBorder="1" applyProtection="1">
      <protection locked="0"/>
    </xf>
    <xf numFmtId="0" fontId="7" fillId="3" borderId="1" xfId="32" applyFont="1" applyFill="1" applyBorder="1" applyAlignment="1" applyProtection="1">
      <alignment vertical="center"/>
      <protection locked="0"/>
    </xf>
    <xf numFmtId="0" fontId="6" fillId="3" borderId="40" xfId="5" applyFill="1" applyBorder="1" applyAlignment="1" applyProtection="1">
      <alignment horizontal="left" indent="1"/>
      <protection locked="0"/>
    </xf>
    <xf numFmtId="0" fontId="6" fillId="3" borderId="71" xfId="5" applyFill="1" applyBorder="1" applyAlignment="1" applyProtection="1">
      <alignment horizontal="left" indent="1"/>
      <protection locked="0"/>
    </xf>
    <xf numFmtId="0" fontId="6" fillId="3" borderId="65" xfId="5" applyFill="1" applyBorder="1" applyAlignment="1" applyProtection="1">
      <alignment horizontal="left" indent="1"/>
      <protection locked="0"/>
    </xf>
    <xf numFmtId="0" fontId="6" fillId="3" borderId="39" xfId="5" applyFill="1" applyBorder="1" applyAlignment="1" applyProtection="1">
      <alignment horizontal="center"/>
      <protection locked="0"/>
    </xf>
    <xf numFmtId="0" fontId="6" fillId="3" borderId="38" xfId="5" applyFill="1" applyBorder="1" applyProtection="1">
      <protection locked="0"/>
    </xf>
    <xf numFmtId="0" fontId="6" fillId="3" borderId="1" xfId="32" applyFont="1" applyFill="1" applyBorder="1" applyAlignment="1" applyProtection="1">
      <alignment vertical="center"/>
      <protection locked="0"/>
    </xf>
    <xf numFmtId="0" fontId="7" fillId="3" borderId="37" xfId="5" applyFont="1" applyFill="1" applyBorder="1" applyAlignment="1" applyProtection="1">
      <alignment horizontal="center" vertical="center"/>
      <protection locked="0"/>
    </xf>
    <xf numFmtId="0" fontId="7" fillId="3" borderId="36" xfId="5" applyFont="1" applyFill="1" applyBorder="1" applyAlignment="1" applyProtection="1">
      <alignment horizontal="center" vertical="center"/>
      <protection locked="0"/>
    </xf>
    <xf numFmtId="43" fontId="7" fillId="3" borderId="36" xfId="34" applyFont="1" applyFill="1" applyBorder="1" applyAlignment="1" applyProtection="1">
      <alignment horizontal="center" vertical="center"/>
      <protection locked="0"/>
    </xf>
    <xf numFmtId="0" fontId="7" fillId="3" borderId="35" xfId="5" applyFont="1" applyFill="1" applyBorder="1" applyAlignment="1" applyProtection="1">
      <alignment horizontal="center" vertical="center"/>
      <protection locked="0"/>
    </xf>
    <xf numFmtId="0" fontId="6" fillId="3" borderId="1" xfId="32" applyFont="1" applyFill="1" applyAlignment="1" applyProtection="1">
      <alignment vertical="center"/>
      <protection locked="0"/>
    </xf>
    <xf numFmtId="0" fontId="7" fillId="3" borderId="1" xfId="32" applyFont="1" applyFill="1" applyBorder="1" applyAlignment="1" applyProtection="1">
      <alignment horizontal="left" vertical="center" indent="1"/>
      <protection locked="0"/>
    </xf>
    <xf numFmtId="0" fontId="7" fillId="3" borderId="1" xfId="32" applyFont="1" applyFill="1" applyBorder="1" applyAlignment="1" applyProtection="1">
      <alignment horizontal="left" vertical="center"/>
      <protection locked="0"/>
    </xf>
    <xf numFmtId="0" fontId="6" fillId="3" borderId="1" xfId="2" applyFill="1" applyProtection="1">
      <protection locked="0"/>
    </xf>
    <xf numFmtId="0" fontId="6" fillId="3" borderId="1" xfId="2" applyFont="1" applyFill="1" applyBorder="1" applyAlignment="1" applyProtection="1">
      <alignment horizontal="left" vertical="center" indent="1"/>
      <protection locked="0"/>
    </xf>
    <xf numFmtId="0" fontId="6" fillId="3" borderId="1" xfId="2" applyFont="1" applyFill="1" applyBorder="1" applyAlignment="1" applyProtection="1">
      <alignment vertical="center"/>
      <protection locked="0"/>
    </xf>
    <xf numFmtId="43" fontId="1" fillId="3" borderId="2" xfId="34" applyFill="1" applyBorder="1" applyAlignment="1">
      <alignment horizontal="right" vertical="top" wrapText="1"/>
    </xf>
    <xf numFmtId="44" fontId="5" fillId="3" borderId="1" xfId="35" applyNumberFormat="1" applyFont="1" applyBorder="1" applyAlignment="1">
      <alignment horizontal="right" wrapText="1"/>
    </xf>
    <xf numFmtId="10" fontId="0" fillId="3" borderId="1" xfId="36" applyNumberFormat="1" applyFont="1" applyBorder="1" applyAlignment="1">
      <alignment horizontal="right" vertical="top" wrapText="1"/>
    </xf>
    <xf numFmtId="0" fontId="5" fillId="3" borderId="1" xfId="32" applyFont="1" applyBorder="1" applyAlignment="1">
      <alignment wrapText="1"/>
    </xf>
    <xf numFmtId="10" fontId="7" fillId="4" borderId="69" xfId="32" applyNumberFormat="1" applyFont="1" applyFill="1" applyBorder="1" applyAlignment="1" applyProtection="1">
      <alignment vertical="center" wrapText="1"/>
      <protection locked="0"/>
    </xf>
    <xf numFmtId="0" fontId="7" fillId="4" borderId="32" xfId="32" applyFont="1" applyFill="1" applyBorder="1" applyAlignment="1" applyProtection="1">
      <alignment horizontal="right" vertical="center" wrapText="1"/>
      <protection locked="0"/>
    </xf>
    <xf numFmtId="0" fontId="29" fillId="6" borderId="2" xfId="39" applyNumberFormat="1" applyFont="1" applyFill="1" applyBorder="1" applyAlignment="1" applyProtection="1">
      <alignment horizontal="left" vertical="center" wrapText="1"/>
    </xf>
    <xf numFmtId="0" fontId="31" fillId="3" borderId="2" xfId="39" applyNumberFormat="1" applyFont="1" applyFill="1" applyBorder="1" applyAlignment="1" applyProtection="1">
      <alignment horizontal="left" vertical="center" wrapText="1"/>
    </xf>
    <xf numFmtId="0" fontId="10" fillId="12" borderId="2" xfId="0" applyNumberFormat="1" applyFont="1" applyFill="1" applyBorder="1" applyAlignment="1" applyProtection="1">
      <alignment horizontal="left" vertical="center" wrapText="1"/>
    </xf>
    <xf numFmtId="0" fontId="26" fillId="12" borderId="49" xfId="0" applyNumberFormat="1" applyFont="1" applyFill="1" applyBorder="1" applyAlignment="1" applyProtection="1">
      <alignment vertical="center" wrapText="1"/>
      <protection locked="0"/>
    </xf>
    <xf numFmtId="0" fontId="13" fillId="12" borderId="49" xfId="0" applyNumberFormat="1" applyFont="1" applyFill="1" applyBorder="1" applyAlignment="1" applyProtection="1">
      <alignment vertical="center" wrapText="1"/>
      <protection locked="0"/>
    </xf>
    <xf numFmtId="0" fontId="13" fillId="12" borderId="49" xfId="0" applyFont="1" applyFill="1" applyBorder="1" applyAlignment="1" applyProtection="1">
      <alignment vertical="center" wrapText="1"/>
      <protection locked="0"/>
    </xf>
    <xf numFmtId="0" fontId="13" fillId="12" borderId="7" xfId="0" applyNumberFormat="1" applyFont="1" applyFill="1" applyBorder="1" applyAlignment="1" applyProtection="1">
      <alignment horizontal="left" vertical="center" wrapText="1"/>
      <protection locked="0"/>
    </xf>
    <xf numFmtId="4" fontId="10" fillId="12" borderId="2" xfId="0" applyNumberFormat="1" applyFont="1" applyFill="1" applyBorder="1" applyAlignment="1" applyProtection="1">
      <alignment horizontal="right" vertical="center" wrapText="1"/>
    </xf>
    <xf numFmtId="0" fontId="8" fillId="3" borderId="1" xfId="40" applyFont="1"/>
    <xf numFmtId="4" fontId="13" fillId="2" borderId="2" xfId="40" applyNumberFormat="1" applyFont="1" applyFill="1" applyBorder="1" applyAlignment="1" applyProtection="1">
      <alignment horizontal="right" vertical="center" wrapText="1"/>
    </xf>
    <xf numFmtId="4" fontId="13" fillId="2" borderId="3" xfId="40" applyNumberFormat="1" applyFont="1" applyFill="1" applyBorder="1" applyAlignment="1" applyProtection="1">
      <alignment horizontal="right" vertical="center" wrapText="1"/>
    </xf>
    <xf numFmtId="10" fontId="13" fillId="3" borderId="3" xfId="30" applyNumberFormat="1" applyFont="1" applyFill="1" applyBorder="1" applyAlignment="1" applyProtection="1">
      <alignment horizontal="right" vertical="center" wrapText="1"/>
    </xf>
    <xf numFmtId="9" fontId="13" fillId="3" borderId="3" xfId="30" applyFont="1" applyFill="1" applyBorder="1" applyAlignment="1" applyProtection="1">
      <alignment horizontal="right" vertical="center" wrapText="1"/>
    </xf>
    <xf numFmtId="0" fontId="8" fillId="3" borderId="1" xfId="40" applyNumberFormat="1" applyFont="1" applyFill="1" applyBorder="1" applyAlignment="1" applyProtection="1">
      <alignment horizontal="left" vertical="top" wrapText="1"/>
      <protection locked="0"/>
    </xf>
    <xf numFmtId="0" fontId="6" fillId="4" borderId="1" xfId="40" applyFont="1" applyFill="1" applyBorder="1" applyAlignment="1" applyProtection="1">
      <alignment horizontal="center" vertical="center"/>
      <protection locked="0"/>
    </xf>
    <xf numFmtId="0" fontId="6" fillId="4" borderId="1" xfId="40" applyFont="1" applyFill="1" applyBorder="1" applyAlignment="1" applyProtection="1">
      <alignment horizontal="left" vertical="center"/>
      <protection locked="0"/>
    </xf>
    <xf numFmtId="0" fontId="7" fillId="4" borderId="1" xfId="40" applyFont="1" applyFill="1" applyBorder="1" applyAlignment="1" applyProtection="1">
      <alignment horizontal="left" vertical="center"/>
      <protection locked="0"/>
    </xf>
    <xf numFmtId="0" fontId="6" fillId="4" borderId="15" xfId="40" applyFont="1" applyFill="1" applyBorder="1" applyAlignment="1" applyProtection="1">
      <alignment horizontal="center" vertical="center"/>
      <protection locked="0"/>
    </xf>
    <xf numFmtId="0" fontId="6" fillId="4" borderId="14" xfId="40" applyFont="1" applyFill="1" applyBorder="1" applyAlignment="1" applyProtection="1">
      <alignment horizontal="center" vertical="center"/>
      <protection locked="0"/>
    </xf>
    <xf numFmtId="0" fontId="6" fillId="4" borderId="14" xfId="40" applyFont="1" applyFill="1" applyBorder="1" applyAlignment="1" applyProtection="1">
      <alignment horizontal="left" vertical="center"/>
      <protection locked="0"/>
    </xf>
    <xf numFmtId="0" fontId="7" fillId="4" borderId="14" xfId="40" applyFont="1" applyFill="1" applyBorder="1" applyAlignment="1" applyProtection="1">
      <alignment horizontal="left" vertical="center"/>
      <protection locked="0"/>
    </xf>
    <xf numFmtId="0" fontId="7" fillId="4" borderId="13" xfId="40" applyFont="1" applyFill="1" applyBorder="1" applyAlignment="1" applyProtection="1">
      <alignment horizontal="left" vertical="center"/>
      <protection locked="0"/>
    </xf>
    <xf numFmtId="0" fontId="6" fillId="4" borderId="12" xfId="40" applyFont="1" applyFill="1" applyBorder="1" applyAlignment="1" applyProtection="1">
      <alignment horizontal="center" vertical="center"/>
      <protection locked="0"/>
    </xf>
    <xf numFmtId="0" fontId="7" fillId="4" borderId="11" xfId="40" applyFont="1" applyFill="1" applyBorder="1" applyAlignment="1" applyProtection="1">
      <alignment horizontal="left" vertical="center"/>
      <protection locked="0"/>
    </xf>
    <xf numFmtId="0" fontId="6" fillId="4" borderId="10" xfId="40" applyFont="1" applyFill="1" applyBorder="1" applyAlignment="1" applyProtection="1">
      <alignment horizontal="center" vertical="center"/>
      <protection locked="0"/>
    </xf>
    <xf numFmtId="0" fontId="6" fillId="4" borderId="9" xfId="40" applyFont="1" applyFill="1" applyBorder="1" applyAlignment="1" applyProtection="1">
      <alignment horizontal="center" vertical="center"/>
      <protection locked="0"/>
    </xf>
    <xf numFmtId="0" fontId="6" fillId="4" borderId="9" xfId="40" applyFont="1" applyFill="1" applyBorder="1" applyAlignment="1" applyProtection="1">
      <alignment horizontal="left" vertical="center"/>
      <protection locked="0"/>
    </xf>
    <xf numFmtId="0" fontId="7" fillId="4" borderId="9" xfId="40" applyFont="1" applyFill="1" applyBorder="1" applyAlignment="1" applyProtection="1">
      <alignment horizontal="left" vertical="center"/>
      <protection locked="0"/>
    </xf>
    <xf numFmtId="0" fontId="7" fillId="4" borderId="8" xfId="40" applyFont="1" applyFill="1" applyBorder="1" applyAlignment="1" applyProtection="1">
      <alignment horizontal="left" vertical="center"/>
      <protection locked="0"/>
    </xf>
    <xf numFmtId="4" fontId="10" fillId="12" borderId="2" xfId="39" applyNumberFormat="1" applyFont="1" applyFill="1" applyBorder="1" applyAlignment="1" applyProtection="1">
      <alignment horizontal="right" vertical="center" wrapText="1"/>
    </xf>
    <xf numFmtId="4" fontId="13" fillId="3" borderId="3" xfId="40" applyNumberFormat="1" applyFont="1" applyFill="1" applyBorder="1" applyAlignment="1" applyProtection="1">
      <alignment horizontal="right" vertical="center" wrapText="1"/>
    </xf>
    <xf numFmtId="4" fontId="33" fillId="2" borderId="70" xfId="40" applyNumberFormat="1" applyFont="1" applyFill="1" applyBorder="1" applyAlignment="1" applyProtection="1">
      <alignment horizontal="right" vertical="center" wrapText="1"/>
    </xf>
    <xf numFmtId="0" fontId="33" fillId="2" borderId="7" xfId="40" applyNumberFormat="1" applyFont="1" applyFill="1" applyBorder="1" applyAlignment="1" applyProtection="1">
      <alignment horizontal="right" vertical="center" wrapText="1"/>
      <protection locked="0"/>
    </xf>
    <xf numFmtId="0" fontId="10" fillId="2" borderId="2" xfId="40" applyNumberFormat="1" applyFont="1" applyFill="1" applyBorder="1" applyAlignment="1" applyProtection="1">
      <alignment horizontal="center" vertical="center" wrapText="1"/>
    </xf>
    <xf numFmtId="0" fontId="8" fillId="0" borderId="1" xfId="0" applyNumberFormat="1" applyFont="1" applyFill="1" applyBorder="1" applyAlignment="1" applyProtection="1">
      <alignment wrapText="1"/>
      <protection locked="0"/>
    </xf>
    <xf numFmtId="0" fontId="10" fillId="0" borderId="1" xfId="0" applyNumberFormat="1" applyFont="1" applyFill="1" applyBorder="1" applyAlignment="1" applyProtection="1">
      <alignment horizontal="center" vertical="center" wrapText="1"/>
      <protection locked="0"/>
    </xf>
    <xf numFmtId="0" fontId="10" fillId="0" borderId="1" xfId="0" applyNumberFormat="1" applyFont="1" applyFill="1" applyBorder="1" applyAlignment="1" applyProtection="1">
      <alignment horizontal="right" vertical="center" wrapText="1" indent="1"/>
      <protection locked="0"/>
    </xf>
    <xf numFmtId="4" fontId="13" fillId="0" borderId="1" xfId="0" applyNumberFormat="1" applyFont="1" applyFill="1" applyBorder="1" applyAlignment="1" applyProtection="1">
      <alignment horizontal="right" vertical="center" wrapText="1"/>
    </xf>
    <xf numFmtId="4" fontId="10" fillId="0" borderId="1" xfId="0" applyNumberFormat="1" applyFont="1" applyFill="1" applyBorder="1" applyAlignment="1" applyProtection="1">
      <alignment horizontal="center" vertical="center" wrapText="1"/>
    </xf>
    <xf numFmtId="0" fontId="8" fillId="0" borderId="0" xfId="0" applyFont="1" applyFill="1"/>
    <xf numFmtId="0" fontId="13" fillId="7" borderId="2" xfId="40" applyNumberFormat="1" applyFont="1" applyFill="1" applyBorder="1" applyAlignment="1" applyProtection="1">
      <alignment horizontal="right" vertical="center" wrapText="1"/>
      <protection locked="0"/>
    </xf>
    <xf numFmtId="4" fontId="13" fillId="7" borderId="2" xfId="40" applyNumberFormat="1" applyFont="1" applyFill="1" applyBorder="1" applyAlignment="1" applyProtection="1">
      <alignment horizontal="right" vertical="center" wrapText="1"/>
    </xf>
    <xf numFmtId="4" fontId="7" fillId="13" borderId="19" xfId="39" applyNumberFormat="1" applyFont="1" applyFill="1" applyBorder="1" applyAlignment="1" applyProtection="1">
      <alignment horizontal="center" vertical="center" wrapText="1"/>
      <protection locked="0"/>
    </xf>
    <xf numFmtId="0" fontId="7" fillId="12" borderId="34" xfId="0" applyNumberFormat="1" applyFont="1" applyFill="1" applyBorder="1" applyAlignment="1" applyProtection="1">
      <alignment horizontal="left" vertical="center" wrapText="1"/>
    </xf>
    <xf numFmtId="0" fontId="10" fillId="12" borderId="49" xfId="0" applyNumberFormat="1" applyFont="1" applyFill="1" applyBorder="1" applyAlignment="1" applyProtection="1">
      <alignment horizontal="left" vertical="center" wrapText="1"/>
    </xf>
    <xf numFmtId="0" fontId="10" fillId="6" borderId="2" xfId="39" applyNumberFormat="1" applyFont="1" applyFill="1" applyBorder="1" applyAlignment="1" applyProtection="1">
      <alignment horizontal="left" vertical="center" wrapText="1"/>
    </xf>
    <xf numFmtId="0" fontId="10" fillId="6" borderId="2" xfId="39" applyNumberFormat="1" applyFont="1" applyFill="1" applyBorder="1" applyAlignment="1" applyProtection="1">
      <alignment horizontal="left" vertical="center" wrapText="1"/>
      <protection locked="0"/>
    </xf>
    <xf numFmtId="0" fontId="29" fillId="6" borderId="2" xfId="39" applyNumberFormat="1" applyFont="1" applyFill="1" applyBorder="1" applyAlignment="1" applyProtection="1">
      <alignment horizontal="left" vertical="center" wrapText="1"/>
    </xf>
    <xf numFmtId="0" fontId="10" fillId="3" borderId="2" xfId="39" applyNumberFormat="1" applyFont="1" applyFill="1" applyBorder="1" applyAlignment="1" applyProtection="1">
      <alignment horizontal="left" vertical="center" wrapText="1"/>
    </xf>
    <xf numFmtId="0" fontId="10" fillId="3" borderId="2" xfId="39" applyNumberFormat="1" applyFont="1" applyFill="1" applyBorder="1" applyAlignment="1" applyProtection="1">
      <alignment horizontal="left" vertical="center" wrapText="1"/>
      <protection locked="0"/>
    </xf>
    <xf numFmtId="0" fontId="10" fillId="6" borderId="34" xfId="39" applyNumberFormat="1" applyFont="1" applyFill="1" applyBorder="1" applyAlignment="1" applyProtection="1">
      <alignment horizontal="left" vertical="center" wrapText="1"/>
    </xf>
    <xf numFmtId="0" fontId="10" fillId="6" borderId="49" xfId="39" applyNumberFormat="1" applyFont="1" applyFill="1" applyBorder="1" applyAlignment="1" applyProtection="1">
      <alignment horizontal="left" vertical="center" wrapText="1"/>
    </xf>
    <xf numFmtId="0" fontId="10" fillId="6" borderId="7" xfId="39" applyNumberFormat="1" applyFont="1" applyFill="1" applyBorder="1" applyAlignment="1" applyProtection="1">
      <alignment horizontal="left" vertical="center" wrapText="1"/>
    </xf>
    <xf numFmtId="0" fontId="10" fillId="3" borderId="34" xfId="39" applyNumberFormat="1" applyFont="1" applyFill="1" applyBorder="1" applyAlignment="1" applyProtection="1">
      <alignment horizontal="left" vertical="center" wrapText="1"/>
    </xf>
    <xf numFmtId="0" fontId="10" fillId="3" borderId="49" xfId="39" applyNumberFormat="1" applyFont="1" applyFill="1" applyBorder="1" applyAlignment="1" applyProtection="1">
      <alignment horizontal="left" vertical="center" wrapText="1"/>
    </xf>
    <xf numFmtId="0" fontId="10" fillId="3" borderId="7" xfId="39" applyNumberFormat="1" applyFont="1" applyFill="1" applyBorder="1" applyAlignment="1" applyProtection="1">
      <alignment horizontal="left" vertical="center" wrapText="1"/>
    </xf>
    <xf numFmtId="0" fontId="7" fillId="4" borderId="8" xfId="2" applyFont="1" applyFill="1" applyBorder="1" applyAlignment="1" applyProtection="1">
      <alignment horizontal="center" vertical="center" wrapText="1"/>
      <protection locked="0"/>
    </xf>
    <xf numFmtId="0" fontId="7" fillId="4" borderId="9" xfId="2" applyFont="1" applyFill="1" applyBorder="1" applyAlignment="1" applyProtection="1">
      <alignment horizontal="center" vertical="center"/>
      <protection locked="0"/>
    </xf>
    <xf numFmtId="0" fontId="7" fillId="4" borderId="10" xfId="2" applyFont="1" applyFill="1" applyBorder="1" applyAlignment="1" applyProtection="1">
      <alignment horizontal="center" vertical="center"/>
      <protection locked="0"/>
    </xf>
    <xf numFmtId="0" fontId="7" fillId="4" borderId="11" xfId="2" applyFont="1" applyFill="1" applyBorder="1" applyAlignment="1" applyProtection="1">
      <alignment horizontal="center" vertical="center"/>
      <protection locked="0"/>
    </xf>
    <xf numFmtId="0" fontId="7" fillId="4" borderId="1" xfId="2" applyFont="1" applyFill="1" applyBorder="1" applyAlignment="1" applyProtection="1">
      <alignment horizontal="center" vertical="center"/>
      <protection locked="0"/>
    </xf>
    <xf numFmtId="0" fontId="7" fillId="4" borderId="12" xfId="2" applyFont="1" applyFill="1" applyBorder="1" applyAlignment="1" applyProtection="1">
      <alignment horizontal="center" vertical="center"/>
      <protection locked="0"/>
    </xf>
    <xf numFmtId="0" fontId="7" fillId="4" borderId="13" xfId="2" applyFont="1" applyFill="1" applyBorder="1" applyAlignment="1" applyProtection="1">
      <alignment horizontal="center" vertical="center"/>
      <protection locked="0"/>
    </xf>
    <xf numFmtId="0" fontId="7" fillId="4" borderId="14" xfId="2" applyFont="1" applyFill="1" applyBorder="1" applyAlignment="1" applyProtection="1">
      <alignment horizontal="center" vertical="center"/>
      <protection locked="0"/>
    </xf>
    <xf numFmtId="0" fontId="7" fillId="4" borderId="15" xfId="2" applyFont="1" applyFill="1" applyBorder="1" applyAlignment="1" applyProtection="1">
      <alignment horizontal="center" vertical="center"/>
      <protection locked="0"/>
    </xf>
    <xf numFmtId="0" fontId="7" fillId="5" borderId="16" xfId="0" applyFont="1" applyFill="1" applyBorder="1" applyAlignment="1" applyProtection="1">
      <alignment horizontal="center" vertical="center"/>
      <protection locked="0"/>
    </xf>
    <xf numFmtId="0" fontId="7" fillId="5" borderId="17" xfId="0" applyFont="1" applyFill="1" applyBorder="1" applyAlignment="1" applyProtection="1">
      <alignment horizontal="center" vertical="center"/>
      <protection locked="0"/>
    </xf>
    <xf numFmtId="0" fontId="7" fillId="5" borderId="18" xfId="0" applyFont="1" applyFill="1" applyBorder="1" applyAlignment="1" applyProtection="1">
      <alignment horizontal="center" vertical="center"/>
      <protection locked="0"/>
    </xf>
    <xf numFmtId="0" fontId="6" fillId="4" borderId="1" xfId="0" applyFont="1" applyFill="1" applyBorder="1" applyAlignment="1" applyProtection="1">
      <alignment horizontal="left" vertical="center"/>
      <protection locked="0"/>
    </xf>
    <xf numFmtId="0" fontId="7" fillId="6" borderId="34" xfId="0" applyNumberFormat="1" applyFont="1" applyFill="1" applyBorder="1" applyAlignment="1" applyProtection="1">
      <alignment horizontal="left" vertical="center" wrapText="1"/>
    </xf>
    <xf numFmtId="0" fontId="10" fillId="6" borderId="49" xfId="0" applyNumberFormat="1" applyFont="1" applyFill="1" applyBorder="1" applyAlignment="1" applyProtection="1">
      <alignment horizontal="left" vertical="center" wrapText="1"/>
    </xf>
    <xf numFmtId="0" fontId="10" fillId="3" borderId="34" xfId="0" applyNumberFormat="1" applyFont="1" applyFill="1" applyBorder="1" applyAlignment="1" applyProtection="1">
      <alignment horizontal="left" vertical="center" wrapText="1"/>
    </xf>
    <xf numFmtId="0" fontId="10" fillId="3" borderId="49" xfId="0" applyNumberFormat="1" applyFont="1" applyFill="1" applyBorder="1" applyAlignment="1" applyProtection="1">
      <alignment horizontal="left" vertical="center" wrapText="1"/>
    </xf>
    <xf numFmtId="0" fontId="10" fillId="6" borderId="34" xfId="0" applyNumberFormat="1" applyFont="1" applyFill="1" applyBorder="1" applyAlignment="1" applyProtection="1">
      <alignment horizontal="left" vertical="center" wrapText="1"/>
    </xf>
    <xf numFmtId="0" fontId="10" fillId="6" borderId="7" xfId="0" applyNumberFormat="1" applyFont="1" applyFill="1" applyBorder="1" applyAlignment="1" applyProtection="1">
      <alignment horizontal="left" vertical="center" wrapText="1"/>
    </xf>
    <xf numFmtId="0" fontId="10" fillId="3" borderId="7" xfId="0" applyNumberFormat="1" applyFont="1" applyFill="1" applyBorder="1" applyAlignment="1" applyProtection="1">
      <alignment horizontal="left" vertical="center" wrapText="1"/>
    </xf>
    <xf numFmtId="4" fontId="7" fillId="13" borderId="19" xfId="0" applyNumberFormat="1" applyFont="1" applyFill="1" applyBorder="1" applyAlignment="1" applyProtection="1">
      <alignment horizontal="center" vertical="center" wrapText="1"/>
      <protection locked="0"/>
    </xf>
    <xf numFmtId="0" fontId="7" fillId="3" borderId="34" xfId="0" applyNumberFormat="1" applyFont="1" applyFill="1" applyBorder="1" applyAlignment="1" applyProtection="1">
      <alignment horizontal="left" vertical="center" wrapText="1"/>
    </xf>
    <xf numFmtId="0" fontId="7" fillId="6" borderId="4" xfId="0" applyNumberFormat="1" applyFont="1" applyFill="1" applyBorder="1" applyAlignment="1" applyProtection="1">
      <alignment horizontal="left" vertical="center" wrapText="1"/>
    </xf>
    <xf numFmtId="0" fontId="10" fillId="6" borderId="70" xfId="0" applyNumberFormat="1" applyFont="1" applyFill="1" applyBorder="1" applyAlignment="1" applyProtection="1">
      <alignment horizontal="left" vertical="center" wrapText="1"/>
    </xf>
    <xf numFmtId="0" fontId="10" fillId="6" borderId="34" xfId="0" applyNumberFormat="1" applyFont="1" applyFill="1" applyBorder="1" applyAlignment="1" applyProtection="1">
      <alignment vertical="center" wrapText="1"/>
    </xf>
    <xf numFmtId="0" fontId="10" fillId="6" borderId="49" xfId="0" applyNumberFormat="1" applyFont="1" applyFill="1" applyBorder="1" applyAlignment="1" applyProtection="1">
      <alignment vertical="center" wrapText="1"/>
    </xf>
    <xf numFmtId="0" fontId="10" fillId="6" borderId="7" xfId="0" applyNumberFormat="1" applyFont="1" applyFill="1" applyBorder="1" applyAlignment="1" applyProtection="1">
      <alignment vertical="center" wrapText="1"/>
    </xf>
    <xf numFmtId="4" fontId="33" fillId="2" borderId="19" xfId="40" applyNumberFormat="1" applyFont="1" applyFill="1" applyBorder="1" applyAlignment="1" applyProtection="1">
      <alignment horizontal="center" vertical="center" wrapText="1"/>
    </xf>
    <xf numFmtId="4" fontId="10" fillId="2" borderId="7" xfId="0" applyNumberFormat="1" applyFont="1" applyFill="1" applyBorder="1" applyAlignment="1" applyProtection="1">
      <alignment horizontal="right" vertical="center" wrapText="1" indent="1"/>
    </xf>
    <xf numFmtId="0" fontId="10" fillId="2" borderId="7" xfId="0" applyNumberFormat="1" applyFont="1" applyFill="1" applyBorder="1" applyAlignment="1" applyProtection="1">
      <alignment horizontal="right" vertical="center" wrapText="1" indent="1"/>
      <protection locked="0"/>
    </xf>
    <xf numFmtId="4" fontId="10" fillId="2" borderId="2" xfId="40" applyNumberFormat="1" applyFont="1" applyFill="1" applyBorder="1" applyAlignment="1" applyProtection="1">
      <alignment horizontal="right" vertical="center" wrapText="1"/>
    </xf>
    <xf numFmtId="0" fontId="10" fillId="2" borderId="2" xfId="40" applyNumberFormat="1" applyFont="1" applyFill="1" applyBorder="1" applyAlignment="1" applyProtection="1">
      <alignment horizontal="right" vertical="center" wrapText="1"/>
      <protection locked="0"/>
    </xf>
    <xf numFmtId="0" fontId="7" fillId="3" borderId="2" xfId="40" applyNumberFormat="1" applyFont="1" applyFill="1" applyBorder="1" applyAlignment="1" applyProtection="1">
      <alignment horizontal="center" vertical="center" wrapText="1"/>
    </xf>
    <xf numFmtId="0" fontId="10" fillId="3" borderId="2" xfId="40" applyNumberFormat="1" applyFont="1" applyFill="1" applyBorder="1" applyAlignment="1" applyProtection="1">
      <alignment horizontal="center" vertical="center" wrapText="1"/>
      <protection locked="0"/>
    </xf>
    <xf numFmtId="0" fontId="13" fillId="3" borderId="2" xfId="40" applyNumberFormat="1" applyFont="1" applyFill="1" applyBorder="1" applyAlignment="1" applyProtection="1">
      <alignment horizontal="left" vertical="center" wrapText="1"/>
    </xf>
    <xf numFmtId="0" fontId="13" fillId="3" borderId="2" xfId="40" applyNumberFormat="1" applyFont="1" applyFill="1" applyBorder="1" applyAlignment="1" applyProtection="1">
      <alignment horizontal="left" vertical="center" wrapText="1"/>
      <protection locked="0"/>
    </xf>
    <xf numFmtId="4" fontId="13" fillId="3" borderId="2" xfId="40" applyNumberFormat="1" applyFont="1" applyFill="1" applyBorder="1" applyAlignment="1" applyProtection="1">
      <alignment horizontal="right" vertical="center" wrapText="1"/>
    </xf>
    <xf numFmtId="0" fontId="13" fillId="3" borderId="2" xfId="40" applyNumberFormat="1" applyFont="1" applyFill="1" applyBorder="1" applyAlignment="1" applyProtection="1">
      <alignment horizontal="right" vertical="center" wrapText="1"/>
      <protection locked="0"/>
    </xf>
    <xf numFmtId="0" fontId="7" fillId="3" borderId="2" xfId="0" applyNumberFormat="1" applyFont="1" applyFill="1" applyBorder="1" applyAlignment="1" applyProtection="1">
      <alignment horizontal="center" vertical="center" wrapText="1"/>
    </xf>
    <xf numFmtId="0" fontId="10" fillId="3" borderId="2" xfId="0" applyNumberFormat="1" applyFont="1" applyFill="1" applyBorder="1" applyAlignment="1" applyProtection="1">
      <alignment horizontal="center" vertical="center" wrapText="1"/>
      <protection locked="0"/>
    </xf>
    <xf numFmtId="0" fontId="13" fillId="3" borderId="2" xfId="0" applyNumberFormat="1" applyFont="1" applyFill="1" applyBorder="1" applyAlignment="1" applyProtection="1">
      <alignment horizontal="left" vertical="center" wrapText="1"/>
    </xf>
    <xf numFmtId="0" fontId="13" fillId="3" borderId="2" xfId="0" applyNumberFormat="1" applyFont="1" applyFill="1" applyBorder="1" applyAlignment="1" applyProtection="1">
      <alignment horizontal="left" vertical="center" wrapText="1"/>
      <protection locked="0"/>
    </xf>
    <xf numFmtId="4" fontId="13" fillId="3" borderId="3" xfId="0" applyNumberFormat="1" applyFont="1" applyFill="1" applyBorder="1" applyAlignment="1" applyProtection="1">
      <alignment horizontal="right" vertical="center" wrapText="1"/>
    </xf>
    <xf numFmtId="4" fontId="13" fillId="3" borderId="5" xfId="0" applyNumberFormat="1" applyFont="1" applyFill="1" applyBorder="1" applyAlignment="1" applyProtection="1">
      <alignment horizontal="right" vertical="center" wrapText="1"/>
    </xf>
    <xf numFmtId="0" fontId="7" fillId="6" borderId="16" xfId="0" applyFont="1" applyFill="1" applyBorder="1" applyAlignment="1" applyProtection="1">
      <alignment horizontal="center" vertical="center"/>
      <protection locked="0"/>
    </xf>
    <xf numFmtId="0" fontId="7" fillId="6" borderId="17" xfId="0" applyFont="1" applyFill="1" applyBorder="1" applyAlignment="1" applyProtection="1">
      <alignment horizontal="center" vertical="center"/>
      <protection locked="0"/>
    </xf>
    <xf numFmtId="0" fontId="7" fillId="6" borderId="18" xfId="0" applyFont="1" applyFill="1" applyBorder="1" applyAlignment="1" applyProtection="1">
      <alignment horizontal="center" vertical="center"/>
      <protection locked="0"/>
    </xf>
    <xf numFmtId="4" fontId="10" fillId="2" borderId="3" xfId="0" applyNumberFormat="1" applyFont="1" applyFill="1" applyBorder="1" applyAlignment="1" applyProtection="1">
      <alignment horizontal="center" vertical="center" wrapText="1"/>
    </xf>
    <xf numFmtId="4" fontId="10" fillId="2" borderId="5" xfId="0" applyNumberFormat="1" applyFont="1" applyFill="1" applyBorder="1" applyAlignment="1" applyProtection="1">
      <alignment horizontal="center" vertical="center" wrapText="1"/>
    </xf>
    <xf numFmtId="4" fontId="10" fillId="2" borderId="7" xfId="0" applyNumberFormat="1" applyFont="1" applyFill="1" applyBorder="1" applyAlignment="1" applyProtection="1">
      <alignment horizontal="center" vertical="center" wrapText="1"/>
    </xf>
    <xf numFmtId="0" fontId="10" fillId="2" borderId="7" xfId="0" applyNumberFormat="1" applyFont="1" applyFill="1" applyBorder="1" applyAlignment="1" applyProtection="1">
      <alignment horizontal="center" vertical="center" wrapText="1"/>
      <protection locked="0"/>
    </xf>
    <xf numFmtId="4" fontId="13" fillId="3" borderId="2" xfId="0" applyNumberFormat="1" applyFont="1" applyFill="1" applyBorder="1" applyAlignment="1" applyProtection="1">
      <alignment horizontal="right" vertical="center" wrapText="1"/>
    </xf>
    <xf numFmtId="0" fontId="13" fillId="3" borderId="2" xfId="0" applyNumberFormat="1" applyFont="1" applyFill="1" applyBorder="1" applyAlignment="1" applyProtection="1">
      <alignment horizontal="right" vertical="center" wrapText="1"/>
      <protection locked="0"/>
    </xf>
    <xf numFmtId="0" fontId="6" fillId="3" borderId="2" xfId="0" applyNumberFormat="1" applyFont="1" applyFill="1" applyBorder="1" applyAlignment="1" applyProtection="1">
      <alignment horizontal="left" vertical="center" wrapText="1"/>
    </xf>
    <xf numFmtId="0" fontId="14" fillId="4" borderId="1" xfId="40" applyFont="1" applyFill="1" applyBorder="1" applyAlignment="1" applyProtection="1">
      <alignment horizontal="left" vertical="center"/>
      <protection locked="0"/>
    </xf>
    <xf numFmtId="0" fontId="7" fillId="4" borderId="9" xfId="2" applyFont="1" applyFill="1" applyBorder="1" applyAlignment="1" applyProtection="1">
      <alignment horizontal="center" vertical="center" wrapText="1"/>
      <protection locked="0"/>
    </xf>
    <xf numFmtId="0" fontId="7" fillId="4" borderId="10" xfId="2" applyFont="1" applyFill="1" applyBorder="1" applyAlignment="1" applyProtection="1">
      <alignment horizontal="center" vertical="center" wrapText="1"/>
      <protection locked="0"/>
    </xf>
    <xf numFmtId="0" fontId="7" fillId="4" borderId="11" xfId="2" applyFont="1" applyFill="1" applyBorder="1" applyAlignment="1" applyProtection="1">
      <alignment horizontal="center" vertical="center" wrapText="1"/>
      <protection locked="0"/>
    </xf>
    <xf numFmtId="0" fontId="7" fillId="4" borderId="1" xfId="2" applyFont="1" applyFill="1" applyBorder="1" applyAlignment="1" applyProtection="1">
      <alignment horizontal="center" vertical="center" wrapText="1"/>
      <protection locked="0"/>
    </xf>
    <xf numFmtId="0" fontId="7" fillId="4" borderId="12" xfId="2" applyFont="1" applyFill="1" applyBorder="1" applyAlignment="1" applyProtection="1">
      <alignment horizontal="center" vertical="center" wrapText="1"/>
      <protection locked="0"/>
    </xf>
    <xf numFmtId="0" fontId="7" fillId="4" borderId="13" xfId="2" applyFont="1" applyFill="1" applyBorder="1" applyAlignment="1" applyProtection="1">
      <alignment horizontal="center" vertical="center" wrapText="1"/>
      <protection locked="0"/>
    </xf>
    <xf numFmtId="0" fontId="7" fillId="4" borderId="14" xfId="2" applyFont="1" applyFill="1" applyBorder="1" applyAlignment="1" applyProtection="1">
      <alignment horizontal="center" vertical="center" wrapText="1"/>
      <protection locked="0"/>
    </xf>
    <xf numFmtId="0" fontId="7" fillId="4" borderId="15" xfId="2" applyFont="1" applyFill="1" applyBorder="1" applyAlignment="1" applyProtection="1">
      <alignment horizontal="center" vertical="center" wrapText="1"/>
      <protection locked="0"/>
    </xf>
    <xf numFmtId="0" fontId="9" fillId="6" borderId="16" xfId="40" applyFont="1" applyFill="1" applyBorder="1" applyAlignment="1" applyProtection="1">
      <alignment horizontal="center" vertical="center"/>
      <protection locked="0"/>
    </xf>
    <xf numFmtId="0" fontId="9" fillId="6" borderId="17" xfId="40" applyFont="1" applyFill="1" applyBorder="1" applyAlignment="1" applyProtection="1">
      <alignment horizontal="center" vertical="center"/>
      <protection locked="0"/>
    </xf>
    <xf numFmtId="0" fontId="9" fillId="6" borderId="18" xfId="40" applyFont="1" applyFill="1" applyBorder="1" applyAlignment="1" applyProtection="1">
      <alignment horizontal="center" vertical="center"/>
      <protection locked="0"/>
    </xf>
    <xf numFmtId="0" fontId="9" fillId="6" borderId="16" xfId="0" applyFont="1" applyFill="1" applyBorder="1" applyAlignment="1" applyProtection="1">
      <alignment horizontal="center" vertical="center"/>
      <protection locked="0"/>
    </xf>
    <xf numFmtId="0" fontId="9" fillId="6" borderId="17" xfId="0" applyFont="1" applyFill="1" applyBorder="1" applyAlignment="1" applyProtection="1">
      <alignment horizontal="center" vertical="center"/>
      <protection locked="0"/>
    </xf>
    <xf numFmtId="0" fontId="9" fillId="6" borderId="18" xfId="0" applyFont="1" applyFill="1" applyBorder="1" applyAlignment="1" applyProtection="1">
      <alignment horizontal="center" vertical="center"/>
      <protection locked="0"/>
    </xf>
    <xf numFmtId="0" fontId="14" fillId="4" borderId="1" xfId="0" applyFont="1" applyFill="1" applyBorder="1" applyAlignment="1" applyProtection="1">
      <alignment horizontal="left" vertical="center"/>
      <protection locked="0"/>
    </xf>
    <xf numFmtId="0" fontId="7" fillId="3" borderId="8" xfId="2" applyFont="1" applyFill="1" applyBorder="1" applyAlignment="1" applyProtection="1">
      <alignment horizontal="center" vertical="center" wrapText="1"/>
      <protection locked="0"/>
    </xf>
    <xf numFmtId="0" fontId="9" fillId="3" borderId="16" xfId="32" applyFont="1" applyFill="1" applyBorder="1" applyAlignment="1" applyProtection="1">
      <alignment horizontal="center" vertical="center"/>
      <protection locked="0"/>
    </xf>
    <xf numFmtId="0" fontId="9" fillId="3" borderId="17" xfId="32" applyFont="1" applyFill="1" applyBorder="1" applyAlignment="1" applyProtection="1">
      <alignment horizontal="center" vertical="center"/>
      <protection locked="0"/>
    </xf>
    <xf numFmtId="0" fontId="9" fillId="3" borderId="18" xfId="32" applyFont="1" applyFill="1" applyBorder="1" applyAlignment="1" applyProtection="1">
      <alignment horizontal="center" vertical="center"/>
      <protection locked="0"/>
    </xf>
    <xf numFmtId="0" fontId="14" fillId="3" borderId="1" xfId="32" applyFont="1" applyFill="1" applyBorder="1" applyAlignment="1" applyProtection="1">
      <alignment horizontal="left" vertical="center"/>
      <protection locked="0"/>
    </xf>
    <xf numFmtId="0" fontId="1" fillId="3" borderId="34" xfId="32" applyBorder="1" applyAlignment="1">
      <alignment wrapText="1"/>
    </xf>
    <xf numFmtId="0" fontId="1" fillId="3" borderId="49" xfId="32" applyBorder="1" applyAlignment="1">
      <alignment wrapText="1"/>
    </xf>
    <xf numFmtId="0" fontId="1" fillId="3" borderId="7" xfId="32" applyBorder="1" applyAlignment="1">
      <alignment wrapText="1"/>
    </xf>
    <xf numFmtId="10" fontId="0" fillId="3" borderId="3" xfId="36" applyNumberFormat="1" applyFont="1" applyBorder="1" applyAlignment="1">
      <alignment horizontal="right" vertical="top" wrapText="1"/>
    </xf>
    <xf numFmtId="10" fontId="0" fillId="3" borderId="5" xfId="36" applyNumberFormat="1" applyFont="1" applyBorder="1" applyAlignment="1">
      <alignment horizontal="right" vertical="top" wrapText="1"/>
    </xf>
    <xf numFmtId="0" fontId="5" fillId="3" borderId="34" xfId="32" applyFont="1" applyBorder="1" applyAlignment="1">
      <alignment wrapText="1"/>
    </xf>
    <xf numFmtId="0" fontId="5" fillId="3" borderId="49" xfId="32" applyFont="1" applyBorder="1" applyAlignment="1">
      <alignment wrapText="1"/>
    </xf>
    <xf numFmtId="0" fontId="5" fillId="3" borderId="7" xfId="32" applyFont="1" applyBorder="1" applyAlignment="1">
      <alignment wrapText="1"/>
    </xf>
    <xf numFmtId="0" fontId="5" fillId="3" borderId="34" xfId="32" applyFont="1" applyBorder="1" applyAlignment="1">
      <alignment horizontal="right" wrapText="1"/>
    </xf>
    <xf numFmtId="0" fontId="5" fillId="3" borderId="49" xfId="32" applyFont="1" applyBorder="1" applyAlignment="1">
      <alignment horizontal="right" wrapText="1"/>
    </xf>
    <xf numFmtId="0" fontId="5" fillId="3" borderId="7" xfId="32" applyFont="1" applyBorder="1" applyAlignment="1">
      <alignment horizontal="right" wrapText="1"/>
    </xf>
    <xf numFmtId="0" fontId="1" fillId="3" borderId="59" xfId="32" applyBorder="1" applyAlignment="1">
      <alignment wrapText="1"/>
    </xf>
    <xf numFmtId="0" fontId="1" fillId="3" borderId="49" xfId="32" applyBorder="1" applyAlignment="1">
      <alignment horizontal="center"/>
    </xf>
    <xf numFmtId="0" fontId="5" fillId="3" borderId="1" xfId="32" applyFont="1" applyAlignment="1">
      <alignment wrapText="1"/>
    </xf>
    <xf numFmtId="0" fontId="5" fillId="11" borderId="34" xfId="32" applyFont="1" applyFill="1" applyBorder="1" applyAlignment="1">
      <alignment wrapText="1"/>
    </xf>
    <xf numFmtId="0" fontId="5" fillId="11" borderId="49" xfId="32" applyFont="1" applyFill="1" applyBorder="1" applyAlignment="1">
      <alignment wrapText="1"/>
    </xf>
    <xf numFmtId="0" fontId="5" fillId="11" borderId="7" xfId="32" applyFont="1" applyFill="1" applyBorder="1" applyAlignment="1">
      <alignment wrapText="1"/>
    </xf>
    <xf numFmtId="10" fontId="0" fillId="3" borderId="60" xfId="36" applyNumberFormat="1" applyFont="1" applyBorder="1" applyAlignment="1">
      <alignment horizontal="right" vertical="top" wrapText="1"/>
    </xf>
    <xf numFmtId="0" fontId="7" fillId="7" borderId="16" xfId="32" applyFont="1" applyFill="1" applyBorder="1" applyAlignment="1" applyProtection="1">
      <alignment horizontal="center" vertical="center" wrapText="1"/>
      <protection locked="0"/>
    </xf>
    <xf numFmtId="0" fontId="7" fillId="7" borderId="17" xfId="32" applyFont="1" applyFill="1" applyBorder="1" applyAlignment="1" applyProtection="1">
      <alignment horizontal="center" vertical="center" wrapText="1"/>
      <protection locked="0"/>
    </xf>
    <xf numFmtId="0" fontId="7" fillId="7" borderId="18" xfId="32" applyFont="1" applyFill="1" applyBorder="1" applyAlignment="1" applyProtection="1">
      <alignment horizontal="center" vertical="center" wrapText="1"/>
      <protection locked="0"/>
    </xf>
    <xf numFmtId="0" fontId="6" fillId="4" borderId="1" xfId="32" applyFont="1" applyFill="1" applyBorder="1" applyAlignment="1" applyProtection="1">
      <alignment vertical="center" wrapText="1"/>
      <protection locked="0"/>
    </xf>
    <xf numFmtId="0" fontId="0" fillId="11" borderId="8" xfId="32" applyFont="1" applyFill="1" applyBorder="1" applyAlignment="1">
      <alignment horizontal="center" vertical="center" wrapText="1"/>
    </xf>
    <xf numFmtId="0" fontId="0" fillId="11" borderId="11" xfId="32" applyFont="1" applyFill="1" applyBorder="1" applyAlignment="1">
      <alignment horizontal="center" vertical="center" wrapText="1"/>
    </xf>
    <xf numFmtId="0" fontId="0" fillId="11" borderId="13" xfId="32" applyFont="1" applyFill="1" applyBorder="1" applyAlignment="1">
      <alignment horizontal="center" vertical="center" wrapText="1"/>
    </xf>
    <xf numFmtId="0" fontId="0" fillId="3" borderId="1" xfId="32" applyFont="1" applyFill="1" applyBorder="1" applyAlignment="1">
      <alignment horizontal="left"/>
    </xf>
    <xf numFmtId="0" fontId="1" fillId="3" borderId="1" xfId="32" applyFill="1" applyBorder="1" applyAlignment="1">
      <alignment horizontal="left"/>
    </xf>
    <xf numFmtId="0" fontId="27" fillId="3" borderId="1" xfId="32" applyFont="1" applyFill="1" applyBorder="1" applyAlignment="1">
      <alignment wrapText="1"/>
    </xf>
    <xf numFmtId="0" fontId="27" fillId="3" borderId="12" xfId="32" applyFont="1" applyFill="1" applyBorder="1" applyAlignment="1">
      <alignment wrapText="1"/>
    </xf>
    <xf numFmtId="0" fontId="1" fillId="3" borderId="1" xfId="32" applyFill="1" applyBorder="1" applyAlignment="1">
      <alignment wrapText="1"/>
    </xf>
    <xf numFmtId="0" fontId="1" fillId="3" borderId="12" xfId="32" applyFill="1" applyBorder="1" applyAlignment="1">
      <alignment wrapText="1"/>
    </xf>
    <xf numFmtId="0" fontId="0" fillId="3" borderId="1" xfId="32" applyFont="1" applyFill="1" applyBorder="1" applyAlignment="1">
      <alignment wrapText="1"/>
    </xf>
    <xf numFmtId="0" fontId="0" fillId="3" borderId="1" xfId="32" applyFont="1" applyFill="1" applyBorder="1" applyAlignment="1"/>
    <xf numFmtId="0" fontId="17" fillId="10" borderId="19" xfId="0" applyFont="1" applyFill="1" applyBorder="1" applyAlignment="1" applyProtection="1">
      <alignment horizontal="center" vertical="center" wrapText="1"/>
    </xf>
    <xf numFmtId="0" fontId="18" fillId="10" borderId="19" xfId="0" applyFont="1" applyFill="1" applyBorder="1" applyAlignment="1" applyProtection="1">
      <alignment horizontal="center" vertical="center" wrapText="1"/>
    </xf>
    <xf numFmtId="0" fontId="7" fillId="0" borderId="19" xfId="0" applyFont="1" applyBorder="1" applyAlignment="1">
      <alignment horizontal="center"/>
    </xf>
    <xf numFmtId="0" fontId="6" fillId="0" borderId="19" xfId="0" applyFont="1" applyBorder="1" applyAlignment="1">
      <alignment horizontal="left" indent="7"/>
    </xf>
    <xf numFmtId="0" fontId="6" fillId="0" borderId="19" xfId="0" applyFont="1" applyBorder="1" applyAlignment="1">
      <alignment horizontal="left"/>
    </xf>
    <xf numFmtId="49" fontId="20" fillId="7" borderId="23" xfId="0" applyNumberFormat="1" applyFont="1" applyFill="1" applyBorder="1" applyAlignment="1">
      <alignment horizontal="center" vertical="center" wrapText="1"/>
    </xf>
    <xf numFmtId="49" fontId="19" fillId="7" borderId="24" xfId="0" applyNumberFormat="1" applyFont="1" applyFill="1" applyBorder="1" applyAlignment="1">
      <alignment horizontal="center" vertical="center" wrapText="1"/>
    </xf>
    <xf numFmtId="49" fontId="19" fillId="7" borderId="25" xfId="0" applyNumberFormat="1" applyFont="1" applyFill="1" applyBorder="1" applyAlignment="1">
      <alignment horizontal="center" vertical="center" wrapText="1"/>
    </xf>
    <xf numFmtId="49" fontId="19" fillId="7" borderId="26" xfId="0" applyNumberFormat="1" applyFont="1" applyFill="1" applyBorder="1" applyAlignment="1">
      <alignment horizontal="center" vertical="center" wrapText="1"/>
    </xf>
    <xf numFmtId="49" fontId="19" fillId="7" borderId="1" xfId="0" applyNumberFormat="1" applyFont="1" applyFill="1" applyBorder="1" applyAlignment="1">
      <alignment horizontal="center" vertical="center" wrapText="1"/>
    </xf>
    <xf numFmtId="49" fontId="19" fillId="7" borderId="27" xfId="0" applyNumberFormat="1" applyFont="1" applyFill="1" applyBorder="1" applyAlignment="1">
      <alignment horizontal="center" vertical="center" wrapText="1"/>
    </xf>
    <xf numFmtId="49" fontId="19" fillId="7" borderId="28" xfId="0" applyNumberFormat="1" applyFont="1" applyFill="1" applyBorder="1" applyAlignment="1">
      <alignment horizontal="center" vertical="center" wrapText="1"/>
    </xf>
    <xf numFmtId="49" fontId="19" fillId="7" borderId="29" xfId="0" applyNumberFormat="1" applyFont="1" applyFill="1" applyBorder="1" applyAlignment="1">
      <alignment horizontal="center" vertical="center" wrapText="1"/>
    </xf>
    <xf numFmtId="49" fontId="19" fillId="7" borderId="30" xfId="0" applyNumberFormat="1" applyFont="1" applyFill="1" applyBorder="1" applyAlignment="1">
      <alignment horizontal="center" vertical="center" wrapText="1"/>
    </xf>
    <xf numFmtId="0" fontId="9" fillId="6" borderId="31" xfId="0" applyFont="1" applyFill="1" applyBorder="1" applyAlignment="1">
      <alignment horizontal="center" vertical="center"/>
    </xf>
    <xf numFmtId="0" fontId="9" fillId="6" borderId="32" xfId="0" applyFont="1" applyFill="1" applyBorder="1" applyAlignment="1">
      <alignment horizontal="center" vertical="center"/>
    </xf>
    <xf numFmtId="0" fontId="9" fillId="6" borderId="33" xfId="0" applyFont="1" applyFill="1" applyBorder="1" applyAlignment="1">
      <alignment horizontal="center" vertical="center"/>
    </xf>
    <xf numFmtId="0" fontId="6" fillId="3" borderId="19" xfId="37" applyFont="1" applyBorder="1" applyAlignment="1">
      <alignment horizontal="left" indent="7"/>
    </xf>
    <xf numFmtId="0" fontId="9" fillId="6" borderId="16" xfId="37" applyFont="1" applyFill="1" applyBorder="1" applyAlignment="1" applyProtection="1">
      <alignment horizontal="center" vertical="center"/>
      <protection locked="0"/>
    </xf>
    <xf numFmtId="0" fontId="9" fillId="6" borderId="17" xfId="37" applyFont="1" applyFill="1" applyBorder="1" applyAlignment="1" applyProtection="1">
      <alignment horizontal="center" vertical="center"/>
      <protection locked="0"/>
    </xf>
    <xf numFmtId="0" fontId="9" fillId="6" borderId="18" xfId="37" applyFont="1" applyFill="1" applyBorder="1" applyAlignment="1" applyProtection="1">
      <alignment horizontal="center" vertical="center"/>
      <protection locked="0"/>
    </xf>
    <xf numFmtId="0" fontId="17" fillId="10" borderId="19" xfId="37" applyFont="1" applyFill="1" applyBorder="1" applyAlignment="1" applyProtection="1">
      <alignment horizontal="center" vertical="center" wrapText="1"/>
    </xf>
    <xf numFmtId="0" fontId="18" fillId="10" borderId="19" xfId="37" applyFont="1" applyFill="1" applyBorder="1" applyAlignment="1" applyProtection="1">
      <alignment horizontal="center" vertical="center" wrapText="1"/>
    </xf>
    <xf numFmtId="0" fontId="7" fillId="3" borderId="19" xfId="37" applyFont="1" applyBorder="1" applyAlignment="1">
      <alignment horizontal="center"/>
    </xf>
    <xf numFmtId="0" fontId="6" fillId="3" borderId="19" xfId="37" applyFont="1" applyBorder="1" applyAlignment="1">
      <alignment horizontal="left"/>
    </xf>
    <xf numFmtId="0" fontId="6" fillId="3" borderId="31" xfId="37" applyFont="1" applyBorder="1" applyAlignment="1">
      <alignment wrapText="1"/>
    </xf>
    <xf numFmtId="0" fontId="6" fillId="3" borderId="32" xfId="37" applyFont="1" applyBorder="1" applyAlignment="1"/>
    <xf numFmtId="0" fontId="6" fillId="3" borderId="33" xfId="37" applyFont="1" applyBorder="1" applyAlignment="1"/>
    <xf numFmtId="49" fontId="20" fillId="7" borderId="23" xfId="37" applyNumberFormat="1" applyFont="1" applyFill="1" applyBorder="1" applyAlignment="1">
      <alignment horizontal="center" vertical="center" wrapText="1"/>
    </xf>
    <xf numFmtId="49" fontId="19" fillId="7" borderId="24" xfId="37" applyNumberFormat="1" applyFont="1" applyFill="1" applyBorder="1" applyAlignment="1">
      <alignment horizontal="center" vertical="center" wrapText="1"/>
    </xf>
    <xf numFmtId="49" fontId="19" fillId="7" borderId="25" xfId="37" applyNumberFormat="1" applyFont="1" applyFill="1" applyBorder="1" applyAlignment="1">
      <alignment horizontal="center" vertical="center" wrapText="1"/>
    </xf>
    <xf numFmtId="49" fontId="19" fillId="7" borderId="26" xfId="37" applyNumberFormat="1" applyFont="1" applyFill="1" applyBorder="1" applyAlignment="1">
      <alignment horizontal="center" vertical="center" wrapText="1"/>
    </xf>
    <xf numFmtId="49" fontId="19" fillId="7" borderId="1" xfId="37" applyNumberFormat="1" applyFont="1" applyFill="1" applyBorder="1" applyAlignment="1">
      <alignment horizontal="center" vertical="center" wrapText="1"/>
    </xf>
    <xf numFmtId="49" fontId="19" fillId="7" borderId="27" xfId="37" applyNumberFormat="1" applyFont="1" applyFill="1" applyBorder="1" applyAlignment="1">
      <alignment horizontal="center" vertical="center" wrapText="1"/>
    </xf>
    <xf numFmtId="49" fontId="19" fillId="7" borderId="28" xfId="37" applyNumberFormat="1" applyFont="1" applyFill="1" applyBorder="1" applyAlignment="1">
      <alignment horizontal="center" vertical="center" wrapText="1"/>
    </xf>
    <xf numFmtId="49" fontId="19" fillId="7" borderId="29" xfId="37" applyNumberFormat="1" applyFont="1" applyFill="1" applyBorder="1" applyAlignment="1">
      <alignment horizontal="center" vertical="center" wrapText="1"/>
    </xf>
    <xf numFmtId="49" fontId="19" fillId="7" borderId="30" xfId="37" applyNumberFormat="1" applyFont="1" applyFill="1" applyBorder="1" applyAlignment="1">
      <alignment horizontal="center" vertical="center" wrapText="1"/>
    </xf>
    <xf numFmtId="0" fontId="9" fillId="6" borderId="31" xfId="37" applyFont="1" applyFill="1" applyBorder="1" applyAlignment="1">
      <alignment horizontal="center" vertical="center"/>
    </xf>
    <xf numFmtId="0" fontId="9" fillId="6" borderId="32" xfId="37" applyFont="1" applyFill="1" applyBorder="1" applyAlignment="1">
      <alignment horizontal="center" vertical="center"/>
    </xf>
    <xf numFmtId="0" fontId="9" fillId="6" borderId="33" xfId="37" applyFont="1" applyFill="1" applyBorder="1" applyAlignment="1">
      <alignment horizontal="center" vertical="center"/>
    </xf>
    <xf numFmtId="0" fontId="2" fillId="3" borderId="19" xfId="0" applyNumberFormat="1" applyFont="1" applyFill="1" applyBorder="1" applyAlignment="1" applyProtection="1">
      <alignment horizontal="center" vertical="top" wrapText="1"/>
    </xf>
    <xf numFmtId="0" fontId="0" fillId="0" borderId="66" xfId="0" applyBorder="1" applyAlignment="1">
      <alignment horizontal="center" vertical="center" wrapText="1"/>
    </xf>
    <xf numFmtId="0" fontId="0" fillId="0" borderId="67" xfId="0" applyBorder="1" applyAlignment="1">
      <alignment horizontal="center" vertical="center" wrapText="1"/>
    </xf>
    <xf numFmtId="0" fontId="0" fillId="0" borderId="68" xfId="0" applyBorder="1" applyAlignment="1">
      <alignment horizontal="center" vertical="center" wrapText="1"/>
    </xf>
    <xf numFmtId="0" fontId="0" fillId="0" borderId="65" xfId="0" applyBorder="1" applyAlignment="1">
      <alignment horizontal="center" vertical="center"/>
    </xf>
    <xf numFmtId="0" fontId="0" fillId="0" borderId="19" xfId="0" applyBorder="1" applyAlignment="1">
      <alignment horizontal="center" vertical="center"/>
    </xf>
    <xf numFmtId="0" fontId="0" fillId="0" borderId="47" xfId="0" applyBorder="1" applyAlignment="1">
      <alignment horizontal="center" vertical="center"/>
    </xf>
    <xf numFmtId="0" fontId="7" fillId="3" borderId="11" xfId="2" applyFont="1" applyFill="1" applyBorder="1" applyAlignment="1" applyProtection="1">
      <alignment horizontal="center" vertical="center" wrapText="1"/>
      <protection locked="0"/>
    </xf>
    <xf numFmtId="0" fontId="7" fillId="3" borderId="1" xfId="2" applyFont="1" applyFill="1" applyBorder="1" applyAlignment="1" applyProtection="1">
      <alignment horizontal="center" vertical="center" wrapText="1"/>
      <protection locked="0"/>
    </xf>
    <xf numFmtId="0" fontId="7" fillId="3" borderId="9" xfId="2" applyFont="1" applyFill="1" applyBorder="1" applyAlignment="1" applyProtection="1">
      <alignment horizontal="center" vertical="center" wrapText="1"/>
      <protection locked="0"/>
    </xf>
    <xf numFmtId="0" fontId="7" fillId="3" borderId="10" xfId="2" applyFont="1" applyFill="1" applyBorder="1" applyAlignment="1" applyProtection="1">
      <alignment horizontal="center" vertical="center" wrapText="1"/>
      <protection locked="0"/>
    </xf>
    <xf numFmtId="0" fontId="7" fillId="3" borderId="12" xfId="2" applyFont="1" applyFill="1" applyBorder="1" applyAlignment="1" applyProtection="1">
      <alignment horizontal="center" vertical="center" wrapText="1"/>
      <protection locked="0"/>
    </xf>
    <xf numFmtId="0" fontId="7" fillId="3" borderId="13" xfId="2" applyFont="1" applyFill="1" applyBorder="1" applyAlignment="1" applyProtection="1">
      <alignment horizontal="center" vertical="center" wrapText="1"/>
      <protection locked="0"/>
    </xf>
    <xf numFmtId="0" fontId="7" fillId="3" borderId="14" xfId="2" applyFont="1" applyFill="1" applyBorder="1" applyAlignment="1" applyProtection="1">
      <alignment horizontal="center" vertical="center" wrapText="1"/>
      <protection locked="0"/>
    </xf>
    <xf numFmtId="0" fontId="7" fillId="3" borderId="15" xfId="2" applyFont="1" applyFill="1" applyBorder="1" applyAlignment="1" applyProtection="1">
      <alignment horizontal="center" vertical="center" wrapText="1"/>
      <protection locked="0"/>
    </xf>
    <xf numFmtId="0" fontId="7" fillId="3" borderId="16" xfId="32" applyFont="1" applyFill="1" applyBorder="1" applyAlignment="1" applyProtection="1">
      <alignment vertical="center"/>
      <protection locked="0"/>
    </xf>
    <xf numFmtId="0" fontId="7" fillId="3" borderId="17" xfId="32" applyFont="1" applyFill="1" applyBorder="1" applyAlignment="1" applyProtection="1">
      <alignment vertical="center"/>
      <protection locked="0"/>
    </xf>
    <xf numFmtId="0" fontId="7" fillId="3" borderId="18" xfId="32" applyFont="1" applyFill="1" applyBorder="1" applyAlignment="1" applyProtection="1">
      <alignment vertical="center"/>
      <protection locked="0"/>
    </xf>
    <xf numFmtId="0" fontId="28" fillId="0" borderId="63" xfId="0" applyFont="1" applyBorder="1" applyAlignment="1">
      <alignment vertical="top" wrapText="1"/>
    </xf>
    <xf numFmtId="0" fontId="28" fillId="0" borderId="64" xfId="0" applyFont="1" applyBorder="1" applyAlignment="1">
      <alignment vertical="top" wrapText="1"/>
    </xf>
    <xf numFmtId="0" fontId="28" fillId="0" borderId="72" xfId="0" applyFont="1" applyBorder="1" applyAlignment="1">
      <alignment vertical="top" wrapText="1"/>
    </xf>
  </cellXfs>
  <cellStyles count="41">
    <cellStyle name="Moeda" xfId="38" builtinId="4"/>
    <cellStyle name="Moeda 2" xfId="35"/>
    <cellStyle name="Normal" xfId="0" builtinId="0"/>
    <cellStyle name="Normal 10" xfId="4"/>
    <cellStyle name="Normal 10 2" xfId="32"/>
    <cellStyle name="Normal 11" xfId="13"/>
    <cellStyle name="Normal 11 2" xfId="2"/>
    <cellStyle name="Normal 12" xfId="14"/>
    <cellStyle name="Normal 13" xfId="15"/>
    <cellStyle name="Normal 14" xfId="16"/>
    <cellStyle name="Normal 15" xfId="17"/>
    <cellStyle name="Normal 16" xfId="18"/>
    <cellStyle name="Normal 17" xfId="19"/>
    <cellStyle name="Normal 18" xfId="20"/>
    <cellStyle name="Normal 19" xfId="21"/>
    <cellStyle name="Normal 2" xfId="5"/>
    <cellStyle name="Normal 20" xfId="22"/>
    <cellStyle name="Normal 21" xfId="23"/>
    <cellStyle name="Normal 22" xfId="24"/>
    <cellStyle name="Normal 23" xfId="25"/>
    <cellStyle name="Normal 24" xfId="26"/>
    <cellStyle name="Normal 25" xfId="27"/>
    <cellStyle name="Normal 26" xfId="29"/>
    <cellStyle name="Normal 27" xfId="37"/>
    <cellStyle name="Normal 28" xfId="39"/>
    <cellStyle name="Normal 29" xfId="40"/>
    <cellStyle name="Normal 3" xfId="7"/>
    <cellStyle name="Normal 4" xfId="8"/>
    <cellStyle name="Normal 5" xfId="6"/>
    <cellStyle name="Normal 5 2" xfId="33"/>
    <cellStyle name="Normal 6" xfId="9"/>
    <cellStyle name="Normal 7" xfId="10"/>
    <cellStyle name="Normal 8" xfId="11"/>
    <cellStyle name="Normal 9" xfId="12"/>
    <cellStyle name="Porcentagem" xfId="1" builtinId="5"/>
    <cellStyle name="Porcentagem 2" xfId="30"/>
    <cellStyle name="Porcentagem 2 3" xfId="36"/>
    <cellStyle name="Vírgula" xfId="28" builtinId="3"/>
    <cellStyle name="Vírgula 2" xfId="34"/>
    <cellStyle name="Vírgula 2 2" xfId="3"/>
    <cellStyle name="Vírgula 2 2 2" xfId="31"/>
  </cellStyles>
  <dxfs count="6">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9"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xdr:col>
      <xdr:colOff>638175</xdr:colOff>
      <xdr:row>1</xdr:row>
      <xdr:rowOff>38100</xdr:rowOff>
    </xdr:from>
    <xdr:to>
      <xdr:col>3</xdr:col>
      <xdr:colOff>1600200</xdr:colOff>
      <xdr:row>7</xdr:row>
      <xdr:rowOff>133350</xdr:rowOff>
    </xdr:to>
    <xdr:sp macro="" textlink="">
      <xdr:nvSpPr>
        <xdr:cNvPr id="1025" name="Object 1" hidden="1">
          <a:extLst>
            <a:ext uri="{63B3BB69-23CF-44E3-9099-C40C66FF867C}">
              <a14:compatExt xmlns:a14="http://schemas.microsoft.com/office/drawing/2010/main" spid="_x0000_s1025"/>
            </a:ext>
            <a:ext uri="{FF2B5EF4-FFF2-40B4-BE49-F238E27FC236}">
              <a16:creationId xmlns:a16="http://schemas.microsoft.com/office/drawing/2014/main" xmlns="" id="{00000000-0008-0000-0000-0000010400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xdr:from>
          <xdr:col>2</xdr:col>
          <xdr:colOff>104775</xdr:colOff>
          <xdr:row>1</xdr:row>
          <xdr:rowOff>85725</xdr:rowOff>
        </xdr:from>
        <xdr:to>
          <xdr:col>2</xdr:col>
          <xdr:colOff>990600</xdr:colOff>
          <xdr:row>7</xdr:row>
          <xdr:rowOff>57150</xdr:rowOff>
        </xdr:to>
        <xdr:sp macro="" textlink="">
          <xdr:nvSpPr>
            <xdr:cNvPr id="1026" name="Object 1" hidden="1">
              <a:extLst>
                <a:ext uri="{63B3BB69-23CF-44E3-9099-C40C66FF867C}">
                  <a14:compatExt spid="_x0000_s1026"/>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1</xdr:col>
      <xdr:colOff>600075</xdr:colOff>
      <xdr:row>1</xdr:row>
      <xdr:rowOff>123825</xdr:rowOff>
    </xdr:from>
    <xdr:to>
      <xdr:col>2</xdr:col>
      <xdr:colOff>523875</xdr:colOff>
      <xdr:row>7</xdr:row>
      <xdr:rowOff>76200</xdr:rowOff>
    </xdr:to>
    <xdr:sp macro="" textlink="">
      <xdr:nvSpPr>
        <xdr:cNvPr id="12289" name="Object 1" hidden="1">
          <a:extLst>
            <a:ext uri="{63B3BB69-23CF-44E3-9099-C40C66FF867C}">
              <a14:compatExt xmlns:a14="http://schemas.microsoft.com/office/drawing/2010/main" spid="_x0000_s12289"/>
            </a:ext>
            <a:ext uri="{FF2B5EF4-FFF2-40B4-BE49-F238E27FC236}">
              <a16:creationId xmlns:a16="http://schemas.microsoft.com/office/drawing/2014/main" xmlns="" id="{00000000-0008-0000-0400-0000013000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xdr:from>
          <xdr:col>1</xdr:col>
          <xdr:colOff>323850</xdr:colOff>
          <xdr:row>1</xdr:row>
          <xdr:rowOff>184150</xdr:rowOff>
        </xdr:from>
        <xdr:to>
          <xdr:col>2</xdr:col>
          <xdr:colOff>95250</xdr:colOff>
          <xdr:row>7</xdr:row>
          <xdr:rowOff>12700</xdr:rowOff>
        </xdr:to>
        <xdr:sp macro="" textlink="">
          <xdr:nvSpPr>
            <xdr:cNvPr id="19458" name="Object 1" hidden="1">
              <a:extLst>
                <a:ext uri="{63B3BB69-23CF-44E3-9099-C40C66FF867C}">
                  <a14:compatExt spid="_x0000_s19458"/>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0</xdr:col>
      <xdr:colOff>600075</xdr:colOff>
      <xdr:row>1</xdr:row>
      <xdr:rowOff>123825</xdr:rowOff>
    </xdr:from>
    <xdr:to>
      <xdr:col>1</xdr:col>
      <xdr:colOff>523875</xdr:colOff>
      <xdr:row>7</xdr:row>
      <xdr:rowOff>76200</xdr:rowOff>
    </xdr:to>
    <xdr:sp macro="" textlink="">
      <xdr:nvSpPr>
        <xdr:cNvPr id="4" name="Object 1" hidden="1">
          <a:extLst>
            <a:ext uri="{63B3BB69-23CF-44E3-9099-C40C66FF867C}">
              <a14:compatExt xmlns:a14="http://schemas.microsoft.com/office/drawing/2010/main" spid="_x0000_s12289"/>
            </a:ext>
            <a:ext uri="{FF2B5EF4-FFF2-40B4-BE49-F238E27FC236}">
              <a16:creationId xmlns:a16="http://schemas.microsoft.com/office/drawing/2014/main" xmlns="" id="{00000000-0008-0000-0400-000001300000}"/>
            </a:ext>
          </a:extLst>
        </xdr:cNvPr>
        <xdr:cNvSpPr/>
      </xdr:nvSpPr>
      <xdr:spPr bwMode="auto">
        <a:xfrm>
          <a:off x="838200" y="323850"/>
          <a:ext cx="1038225" cy="10953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xdr:from>
          <xdr:col>0</xdr:col>
          <xdr:colOff>323850</xdr:colOff>
          <xdr:row>1</xdr:row>
          <xdr:rowOff>184150</xdr:rowOff>
        </xdr:from>
        <xdr:to>
          <xdr:col>0</xdr:col>
          <xdr:colOff>1539875</xdr:colOff>
          <xdr:row>7</xdr:row>
          <xdr:rowOff>12700</xdr:rowOff>
        </xdr:to>
        <xdr:sp macro="" textlink="">
          <xdr:nvSpPr>
            <xdr:cNvPr id="20482" name="Object 1" hidden="1">
              <a:extLst>
                <a:ext uri="{63B3BB69-23CF-44E3-9099-C40C66FF867C}">
                  <a14:compatExt spid="_x0000_s20482"/>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2619375</xdr:colOff>
      <xdr:row>1</xdr:row>
      <xdr:rowOff>57150</xdr:rowOff>
    </xdr:from>
    <xdr:to>
      <xdr:col>2</xdr:col>
      <xdr:colOff>3838575</xdr:colOff>
      <xdr:row>7</xdr:row>
      <xdr:rowOff>123825</xdr:rowOff>
    </xdr:to>
    <xdr:sp macro="" textlink="">
      <xdr:nvSpPr>
        <xdr:cNvPr id="9217" name="Object 1" hidden="1">
          <a:extLst>
            <a:ext uri="{63B3BB69-23CF-44E3-9099-C40C66FF867C}">
              <a14:compatExt xmlns:a14="http://schemas.microsoft.com/office/drawing/2010/main" spid="_x0000_s9217"/>
            </a:ext>
            <a:ext uri="{FF2B5EF4-FFF2-40B4-BE49-F238E27FC236}">
              <a16:creationId xmlns:a16="http://schemas.microsoft.com/office/drawing/2014/main" xmlns="" id="{00000000-0008-0000-0100-0000012400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2</xdr:col>
      <xdr:colOff>1171575</xdr:colOff>
      <xdr:row>1</xdr:row>
      <xdr:rowOff>28575</xdr:rowOff>
    </xdr:from>
    <xdr:to>
      <xdr:col>2</xdr:col>
      <xdr:colOff>2105025</xdr:colOff>
      <xdr:row>7</xdr:row>
      <xdr:rowOff>123825</xdr:rowOff>
    </xdr:to>
    <xdr:sp macro="" textlink="">
      <xdr:nvSpPr>
        <xdr:cNvPr id="9222" name="Object 6" hidden="1">
          <a:extLst>
            <a:ext uri="{63B3BB69-23CF-44E3-9099-C40C66FF867C}">
              <a14:compatExt xmlns:a14="http://schemas.microsoft.com/office/drawing/2010/main" spid="_x0000_s9222"/>
            </a:ext>
            <a:ext uri="{FF2B5EF4-FFF2-40B4-BE49-F238E27FC236}">
              <a16:creationId xmlns:a16="http://schemas.microsoft.com/office/drawing/2014/main" xmlns="" id="{00000000-0008-0000-0100-0000062400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xdr:from>
          <xdr:col>1</xdr:col>
          <xdr:colOff>114300</xdr:colOff>
          <xdr:row>1</xdr:row>
          <xdr:rowOff>85725</xdr:rowOff>
        </xdr:from>
        <xdr:to>
          <xdr:col>2</xdr:col>
          <xdr:colOff>381000</xdr:colOff>
          <xdr:row>7</xdr:row>
          <xdr:rowOff>85725</xdr:rowOff>
        </xdr:to>
        <xdr:sp macro="" textlink="">
          <xdr:nvSpPr>
            <xdr:cNvPr id="2049" name="Object 1" hidden="1">
              <a:extLst>
                <a:ext uri="{63B3BB69-23CF-44E3-9099-C40C66FF867C}">
                  <a14:compatExt spid="_x0000_s2049"/>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1</xdr:row>
          <xdr:rowOff>57150</xdr:rowOff>
        </xdr:from>
        <xdr:to>
          <xdr:col>3</xdr:col>
          <xdr:colOff>0</xdr:colOff>
          <xdr:row>7</xdr:row>
          <xdr:rowOff>123825</xdr:rowOff>
        </xdr:to>
        <xdr:sp macro="" textlink="">
          <xdr:nvSpPr>
            <xdr:cNvPr id="12289" name="Object 1" hidden="1">
              <a:extLst>
                <a:ext uri="{63B3BB69-23CF-44E3-9099-C40C66FF867C}">
                  <a14:compatExt spid="_x0000_s12289"/>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552450</xdr:colOff>
          <xdr:row>1</xdr:row>
          <xdr:rowOff>57150</xdr:rowOff>
        </xdr:from>
        <xdr:to>
          <xdr:col>2</xdr:col>
          <xdr:colOff>1000125</xdr:colOff>
          <xdr:row>7</xdr:row>
          <xdr:rowOff>95250</xdr:rowOff>
        </xdr:to>
        <xdr:sp macro="" textlink="">
          <xdr:nvSpPr>
            <xdr:cNvPr id="12290" name="Object 2" hidden="1">
              <a:extLst>
                <a:ext uri="{63B3BB69-23CF-44E3-9099-C40C66FF867C}">
                  <a14:compatExt spid="_x0000_s1229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2</xdr:col>
      <xdr:colOff>1514475</xdr:colOff>
      <xdr:row>1</xdr:row>
      <xdr:rowOff>9525</xdr:rowOff>
    </xdr:from>
    <xdr:to>
      <xdr:col>2</xdr:col>
      <xdr:colOff>2524125</xdr:colOff>
      <xdr:row>7</xdr:row>
      <xdr:rowOff>152400</xdr:rowOff>
    </xdr:to>
    <xdr:sp macro="" textlink="">
      <xdr:nvSpPr>
        <xdr:cNvPr id="13313" name="Object 1" hidden="1">
          <a:extLst>
            <a:ext uri="{63B3BB69-23CF-44E3-9099-C40C66FF867C}">
              <a14:compatExt xmlns:a14="http://schemas.microsoft.com/office/drawing/2010/main" spid="_x0000_s13313"/>
            </a:ext>
            <a:ext uri="{FF2B5EF4-FFF2-40B4-BE49-F238E27FC236}">
              <a16:creationId xmlns:a16="http://schemas.microsoft.com/office/drawing/2014/main" xmlns="" id="{00000000-0008-0000-0200-0000013400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xdr:from>
          <xdr:col>1</xdr:col>
          <xdr:colOff>114300</xdr:colOff>
          <xdr:row>1</xdr:row>
          <xdr:rowOff>85725</xdr:rowOff>
        </xdr:from>
        <xdr:to>
          <xdr:col>2</xdr:col>
          <xdr:colOff>200025</xdr:colOff>
          <xdr:row>7</xdr:row>
          <xdr:rowOff>85725</xdr:rowOff>
        </xdr:to>
        <xdr:sp macro="" textlink="">
          <xdr:nvSpPr>
            <xdr:cNvPr id="2" name="Object 1" hidden="1">
              <a:extLst>
                <a:ext uri="{63B3BB69-23CF-44E3-9099-C40C66FF867C}">
                  <a14:compatExt spid="_x0000_s1331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1133475</xdr:colOff>
          <xdr:row>1</xdr:row>
          <xdr:rowOff>47625</xdr:rowOff>
        </xdr:from>
        <xdr:to>
          <xdr:col>2</xdr:col>
          <xdr:colOff>2200275</xdr:colOff>
          <xdr:row>7</xdr:row>
          <xdr:rowOff>123825</xdr:rowOff>
        </xdr:to>
        <xdr:sp macro="" textlink="">
          <xdr:nvSpPr>
            <xdr:cNvPr id="10241" name="Object 1" hidden="1">
              <a:extLst>
                <a:ext uri="{63B3BB69-23CF-44E3-9099-C40C66FF867C}">
                  <a14:compatExt spid="_x0000_s1024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1</xdr:row>
          <xdr:rowOff>19050</xdr:rowOff>
        </xdr:from>
        <xdr:to>
          <xdr:col>4</xdr:col>
          <xdr:colOff>0</xdr:colOff>
          <xdr:row>8</xdr:row>
          <xdr:rowOff>0</xdr:rowOff>
        </xdr:to>
        <xdr:sp macro="" textlink="">
          <xdr:nvSpPr>
            <xdr:cNvPr id="7169" name="Object 1" hidden="1">
              <a:extLst>
                <a:ext uri="{63B3BB69-23CF-44E3-9099-C40C66FF867C}">
                  <a14:compatExt spid="_x0000_s7169"/>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647700</xdr:colOff>
          <xdr:row>1</xdr:row>
          <xdr:rowOff>57150</xdr:rowOff>
        </xdr:from>
        <xdr:to>
          <xdr:col>1</xdr:col>
          <xdr:colOff>2133600</xdr:colOff>
          <xdr:row>7</xdr:row>
          <xdr:rowOff>161925</xdr:rowOff>
        </xdr:to>
        <xdr:sp macro="" textlink="">
          <xdr:nvSpPr>
            <xdr:cNvPr id="7170" name="Object 2" hidden="1">
              <a:extLst>
                <a:ext uri="{63B3BB69-23CF-44E3-9099-C40C66FF867C}">
                  <a14:compatExt spid="_x0000_s717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1</xdr:row>
          <xdr:rowOff>19050</xdr:rowOff>
        </xdr:from>
        <xdr:to>
          <xdr:col>4</xdr:col>
          <xdr:colOff>0</xdr:colOff>
          <xdr:row>8</xdr:row>
          <xdr:rowOff>0</xdr:rowOff>
        </xdr:to>
        <xdr:sp macro="" textlink="">
          <xdr:nvSpPr>
            <xdr:cNvPr id="11265" name="Object 1" hidden="1">
              <a:extLst>
                <a:ext uri="{63B3BB69-23CF-44E3-9099-C40C66FF867C}">
                  <a14:compatExt spid="_x0000_s1126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647700</xdr:colOff>
          <xdr:row>1</xdr:row>
          <xdr:rowOff>57150</xdr:rowOff>
        </xdr:from>
        <xdr:to>
          <xdr:col>1</xdr:col>
          <xdr:colOff>2133600</xdr:colOff>
          <xdr:row>7</xdr:row>
          <xdr:rowOff>161925</xdr:rowOff>
        </xdr:to>
        <xdr:sp macro="" textlink="">
          <xdr:nvSpPr>
            <xdr:cNvPr id="11266" name="Object 2" hidden="1">
              <a:extLst>
                <a:ext uri="{63B3BB69-23CF-44E3-9099-C40C66FF867C}">
                  <a14:compatExt spid="_x0000_s11266"/>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1</xdr:col>
      <xdr:colOff>600075</xdr:colOff>
      <xdr:row>1</xdr:row>
      <xdr:rowOff>28575</xdr:rowOff>
    </xdr:from>
    <xdr:to>
      <xdr:col>2</xdr:col>
      <xdr:colOff>609600</xdr:colOff>
      <xdr:row>7</xdr:row>
      <xdr:rowOff>161925</xdr:rowOff>
    </xdr:to>
    <xdr:sp macro="" textlink="">
      <xdr:nvSpPr>
        <xdr:cNvPr id="11265" name="Object 1" hidden="1">
          <a:extLst>
            <a:ext uri="{63B3BB69-23CF-44E3-9099-C40C66FF867C}">
              <a14:compatExt xmlns:a14="http://schemas.microsoft.com/office/drawing/2010/main" spid="_x0000_s11265"/>
            </a:ext>
            <a:ext uri="{FF2B5EF4-FFF2-40B4-BE49-F238E27FC236}">
              <a16:creationId xmlns:a16="http://schemas.microsoft.com/office/drawing/2014/main" xmlns="" id="{00000000-0008-0000-0300-0000012C00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xdr:from>
          <xdr:col>1</xdr:col>
          <xdr:colOff>189380</xdr:colOff>
          <xdr:row>1</xdr:row>
          <xdr:rowOff>146797</xdr:rowOff>
        </xdr:from>
        <xdr:to>
          <xdr:col>1</xdr:col>
          <xdr:colOff>1070162</xdr:colOff>
          <xdr:row>6</xdr:row>
          <xdr:rowOff>165847</xdr:rowOff>
        </xdr:to>
        <xdr:sp macro="" textlink="">
          <xdr:nvSpPr>
            <xdr:cNvPr id="17410" name="Object 1" hidden="1">
              <a:extLst>
                <a:ext uri="{63B3BB69-23CF-44E3-9099-C40C66FF867C}">
                  <a14:compatExt spid="_x0000_s1741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1</xdr:col>
      <xdr:colOff>600075</xdr:colOff>
      <xdr:row>1</xdr:row>
      <xdr:rowOff>28575</xdr:rowOff>
    </xdr:from>
    <xdr:to>
      <xdr:col>2</xdr:col>
      <xdr:colOff>609600</xdr:colOff>
      <xdr:row>7</xdr:row>
      <xdr:rowOff>161925</xdr:rowOff>
    </xdr:to>
    <xdr:sp macro="" textlink="">
      <xdr:nvSpPr>
        <xdr:cNvPr id="2" name="Object 1" hidden="1">
          <a:extLst>
            <a:ext uri="{63B3BB69-23CF-44E3-9099-C40C66FF867C}">
              <a14:compatExt xmlns:a14="http://schemas.microsoft.com/office/drawing/2010/main" spid="_x0000_s11265"/>
            </a:ext>
            <a:ext uri="{FF2B5EF4-FFF2-40B4-BE49-F238E27FC236}">
              <a16:creationId xmlns:a16="http://schemas.microsoft.com/office/drawing/2014/main" xmlns="" id="{00000000-0008-0000-0300-0000012C0000}"/>
            </a:ext>
          </a:extLst>
        </xdr:cNvPr>
        <xdr:cNvSpPr/>
      </xdr:nvSpPr>
      <xdr:spPr bwMode="auto">
        <a:xfrm>
          <a:off x="838200" y="228600"/>
          <a:ext cx="1123950" cy="1276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xdr:from>
          <xdr:col>1</xdr:col>
          <xdr:colOff>323850</xdr:colOff>
          <xdr:row>1</xdr:row>
          <xdr:rowOff>146797</xdr:rowOff>
        </xdr:from>
        <xdr:to>
          <xdr:col>2</xdr:col>
          <xdr:colOff>95250</xdr:colOff>
          <xdr:row>6</xdr:row>
          <xdr:rowOff>165847</xdr:rowOff>
        </xdr:to>
        <xdr:sp macro="" textlink="">
          <xdr:nvSpPr>
            <xdr:cNvPr id="18434" name="Object 1" hidden="1">
              <a:extLst>
                <a:ext uri="{63B3BB69-23CF-44E3-9099-C40C66FF867C}">
                  <a14:compatExt spid="_x0000_s18434"/>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ASTA%20%20DE%20TRABALHO\FABIOSALEME\CAIXA2005\COT%20ANALISE%20PUB\saomateus\unidade%20de%20saude\docenviados21122017\US_3%20-%20AMPLIACAO%20SM%2006_10_17%20-%20REV-0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Backup%20-%2014-07-16%20-%20111111111111\Prefeitura%20S&#227;o%20Mateus\USF-03\CD%20-%20REV%203\AMPLIA&#199;&#195;O\PLANILHAS\Revis&#227;o%20Planilha\US_3%20-%20AMPLIACAO%20SM%2006_10_17%20-%20REV-0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dds01\profiles$\leonedas.vasconcelos\Desktop\US3%20-%20Licitar\REFPORMA\PLANILHAS\US_3%20-%20REFORMA%20SM%2006_10_1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Backup%20-%2014-07-16%20-%20111111111111\LACOPE\Licita&#231;&#245;es\Prefeitura%20de%20Aracruz\EBS\Alambrados%20nos%20Campos%20de%20Futebol\SITE\Pl%20057-%20Instala&#231;ao%20de%20Alambrados%20em%20Campo%20de%20Futebol%20Sahy,%20Pau%20Brasil%20e%20Planalto-REV-04.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003%20-%20Projetos\110-%20US3%20S&#227;o%20Mateus\US%203%20-%20Reform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CAMENTO"/>
      <sheetName val="CRONOGRAMA"/>
      <sheetName val="MEMORIA DE CALCULO"/>
      <sheetName val="BDI"/>
      <sheetName val="ENCARGOS SOCIAIS"/>
      <sheetName val="COMPOSICOES"/>
      <sheetName val="COMPOSICOES AUXILIARES"/>
      <sheetName val="COMPOSICOES (2)"/>
      <sheetName val="Plan1"/>
    </sheetNames>
    <sheetDataSet>
      <sheetData sheetId="0"/>
      <sheetData sheetId="1"/>
      <sheetData sheetId="2"/>
      <sheetData sheetId="3"/>
      <sheetData sheetId="4"/>
      <sheetData sheetId="5"/>
      <sheetData sheetId="6"/>
      <sheetData sheetId="7">
        <row r="120">
          <cell r="G120">
            <v>30.659999999999997</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CAMENTO"/>
      <sheetName val="CRONOGRAMA"/>
      <sheetName val="MEMORIA DE CALCULO"/>
      <sheetName val="BDI"/>
      <sheetName val="ENCARGOS SOCIAIS"/>
      <sheetName val="COMPOSICOES"/>
      <sheetName val="COMPOSICOES AUXILIARES"/>
      <sheetName val="COMPOSICOES (2)"/>
      <sheetName val="Plan1"/>
    </sheetNames>
    <sheetDataSet>
      <sheetData sheetId="0"/>
      <sheetData sheetId="1"/>
      <sheetData sheetId="2"/>
      <sheetData sheetId="3"/>
      <sheetData sheetId="4"/>
      <sheetData sheetId="5"/>
      <sheetData sheetId="6"/>
      <sheetData sheetId="7">
        <row r="120">
          <cell r="G120">
            <v>30.659999999999997</v>
          </cell>
        </row>
      </sheetData>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I"/>
      <sheetName val="ENCARGOS SOCIAIS"/>
    </sheetNames>
    <sheetDataSet>
      <sheetData sheetId="0">
        <row r="41">
          <cell r="E41">
            <v>0.28220000000000001</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çamento Válido"/>
      <sheetName val="Composições"/>
      <sheetName val="Lista Preço"/>
      <sheetName val="Resumo"/>
      <sheetName val="Cronograma"/>
      <sheetName val="Composição BDI"/>
      <sheetName val="Composição Leis Sociais"/>
    </sheetNames>
    <sheetDataSet>
      <sheetData sheetId="0" refreshError="1"/>
      <sheetData sheetId="1" refreshError="1"/>
      <sheetData sheetId="2">
        <row r="13">
          <cell r="A13">
            <v>0</v>
          </cell>
          <cell r="B13">
            <v>0</v>
          </cell>
          <cell r="C13">
            <v>0</v>
          </cell>
          <cell r="D13">
            <v>0</v>
          </cell>
          <cell r="E13">
            <v>0</v>
          </cell>
        </row>
        <row r="14">
          <cell r="A14">
            <v>0</v>
          </cell>
          <cell r="B14">
            <v>0</v>
          </cell>
          <cell r="C14">
            <v>0</v>
          </cell>
          <cell r="D14">
            <v>0</v>
          </cell>
          <cell r="E14">
            <v>0</v>
          </cell>
        </row>
        <row r="15">
          <cell r="A15">
            <v>6106</v>
          </cell>
          <cell r="B15" t="str">
            <v>Selim PVC 90º c/ trava nbr 10569 p/ rede
coletora esgoto DN 150x100mm</v>
          </cell>
          <cell r="C15" t="str">
            <v>UN</v>
          </cell>
          <cell r="D15">
            <v>12.67</v>
          </cell>
          <cell r="E15">
            <v>0</v>
          </cell>
        </row>
        <row r="16">
          <cell r="A16">
            <v>10101</v>
          </cell>
          <cell r="B16" t="str">
            <v>AJUDANTE</v>
          </cell>
          <cell r="C16" t="str">
            <v>H</v>
          </cell>
          <cell r="D16">
            <v>4.67</v>
          </cell>
          <cell r="E16">
            <v>0</v>
          </cell>
        </row>
        <row r="17">
          <cell r="A17">
            <v>10106</v>
          </cell>
          <cell r="B17" t="str">
            <v>AZULEJISTA</v>
          </cell>
          <cell r="C17" t="str">
            <v>H</v>
          </cell>
          <cell r="D17">
            <v>5.54</v>
          </cell>
          <cell r="E17">
            <v>0</v>
          </cell>
        </row>
        <row r="18">
          <cell r="A18">
            <v>10107</v>
          </cell>
          <cell r="B18" t="str">
            <v>CALAFETADOR</v>
          </cell>
          <cell r="C18" t="str">
            <v>H</v>
          </cell>
          <cell r="D18">
            <v>5.54</v>
          </cell>
          <cell r="E18">
            <v>0</v>
          </cell>
        </row>
        <row r="19">
          <cell r="A19">
            <v>10108</v>
          </cell>
          <cell r="B19" t="str">
            <v>CALCETEIRO/PINTOR</v>
          </cell>
          <cell r="C19" t="str">
            <v>H</v>
          </cell>
          <cell r="D19">
            <v>5.54</v>
          </cell>
          <cell r="E19">
            <v>0</v>
          </cell>
        </row>
        <row r="20">
          <cell r="A20">
            <v>10109</v>
          </cell>
          <cell r="B20" t="str">
            <v>CAVOUQUEIRO</v>
          </cell>
          <cell r="C20" t="str">
            <v>H</v>
          </cell>
          <cell r="D20">
            <v>4.07</v>
          </cell>
          <cell r="E20">
            <v>0</v>
          </cell>
        </row>
        <row r="21">
          <cell r="A21">
            <v>10111</v>
          </cell>
          <cell r="B21" t="str">
            <v>CARPINTEIRO</v>
          </cell>
          <cell r="C21" t="str">
            <v>H</v>
          </cell>
          <cell r="D21">
            <v>5.54</v>
          </cell>
          <cell r="E21">
            <v>0</v>
          </cell>
        </row>
        <row r="22">
          <cell r="A22">
            <v>10115</v>
          </cell>
          <cell r="B22" t="str">
            <v>ELETRICISTA</v>
          </cell>
          <cell r="C22" t="str">
            <v>H</v>
          </cell>
          <cell r="D22">
            <v>5.54</v>
          </cell>
          <cell r="E22">
            <v>0</v>
          </cell>
        </row>
        <row r="23">
          <cell r="A23">
            <v>10117</v>
          </cell>
          <cell r="B23" t="str">
            <v>ELETROTECNICO MONTADOR</v>
          </cell>
          <cell r="C23" t="str">
            <v>H</v>
          </cell>
          <cell r="D23">
            <v>10.51</v>
          </cell>
          <cell r="E23">
            <v>0</v>
          </cell>
        </row>
        <row r="24">
          <cell r="A24">
            <v>10118</v>
          </cell>
          <cell r="B24" t="str">
            <v>ENCANADOR</v>
          </cell>
          <cell r="C24" t="str">
            <v>H</v>
          </cell>
          <cell r="D24">
            <v>5.54</v>
          </cell>
          <cell r="E24">
            <v>0</v>
          </cell>
        </row>
        <row r="25">
          <cell r="A25">
            <v>10121</v>
          </cell>
          <cell r="B25" t="str">
            <v>ARMADOR</v>
          </cell>
          <cell r="C25" t="str">
            <v>H</v>
          </cell>
          <cell r="D25">
            <v>5.54</v>
          </cell>
          <cell r="E25">
            <v>0</v>
          </cell>
        </row>
        <row r="26">
          <cell r="A26">
            <v>10124</v>
          </cell>
          <cell r="B26" t="str">
            <v>GRANITEIRO/MARMORISTA</v>
          </cell>
          <cell r="C26" t="str">
            <v>H</v>
          </cell>
          <cell r="D26">
            <v>5.54</v>
          </cell>
          <cell r="E26">
            <v>0</v>
          </cell>
        </row>
        <row r="27">
          <cell r="A27">
            <v>10126</v>
          </cell>
          <cell r="B27" t="str">
            <v>JARDINEIRO</v>
          </cell>
          <cell r="C27" t="str">
            <v>H</v>
          </cell>
          <cell r="D27">
            <v>5.54</v>
          </cell>
          <cell r="E27">
            <v>0</v>
          </cell>
        </row>
        <row r="28">
          <cell r="A28">
            <v>10128</v>
          </cell>
          <cell r="B28" t="str">
            <v>LADRILHISTA</v>
          </cell>
          <cell r="C28" t="str">
            <v>H</v>
          </cell>
          <cell r="D28">
            <v>5.54</v>
          </cell>
          <cell r="E28">
            <v>0</v>
          </cell>
        </row>
        <row r="29">
          <cell r="A29">
            <v>10130</v>
          </cell>
          <cell r="B29" t="str">
            <v>MONTADOR</v>
          </cell>
          <cell r="C29" t="str">
            <v>H</v>
          </cell>
          <cell r="D29">
            <v>5.54</v>
          </cell>
          <cell r="E29">
            <v>0</v>
          </cell>
        </row>
        <row r="30">
          <cell r="A30">
            <v>10132</v>
          </cell>
          <cell r="B30" t="str">
            <v>ENGENHEIRO</v>
          </cell>
          <cell r="C30" t="str">
            <v>H</v>
          </cell>
          <cell r="D30">
            <v>32.24</v>
          </cell>
          <cell r="E30">
            <v>0</v>
          </cell>
        </row>
        <row r="31">
          <cell r="A31">
            <v>10134</v>
          </cell>
          <cell r="B31" t="str">
            <v>BOMBEIRO HIDRÁULICO</v>
          </cell>
          <cell r="C31" t="str">
            <v>H</v>
          </cell>
          <cell r="D31">
            <v>5.54</v>
          </cell>
          <cell r="E31">
            <v>0</v>
          </cell>
        </row>
        <row r="32">
          <cell r="A32">
            <v>10138</v>
          </cell>
          <cell r="B32" t="str">
            <v>PASTILHEIRO</v>
          </cell>
          <cell r="C32" t="str">
            <v>H</v>
          </cell>
          <cell r="D32">
            <v>5.54</v>
          </cell>
          <cell r="E32">
            <v>0</v>
          </cell>
        </row>
        <row r="33">
          <cell r="A33">
            <v>10139</v>
          </cell>
          <cell r="B33" t="str">
            <v>PEDREIRO</v>
          </cell>
          <cell r="C33" t="str">
            <v>H</v>
          </cell>
          <cell r="D33">
            <v>5.54</v>
          </cell>
          <cell r="E33">
            <v>0</v>
          </cell>
        </row>
        <row r="34">
          <cell r="A34">
            <v>10140</v>
          </cell>
          <cell r="B34" t="str">
            <v>PINTOR</v>
          </cell>
          <cell r="C34" t="str">
            <v>H</v>
          </cell>
          <cell r="D34">
            <v>5.54</v>
          </cell>
          <cell r="E34">
            <v>0</v>
          </cell>
        </row>
        <row r="35">
          <cell r="A35">
            <v>10146</v>
          </cell>
          <cell r="B35" t="str">
            <v>SERVENTE</v>
          </cell>
          <cell r="C35" t="str">
            <v>H</v>
          </cell>
          <cell r="D35">
            <v>4.07</v>
          </cell>
          <cell r="E35">
            <v>0</v>
          </cell>
        </row>
        <row r="36">
          <cell r="A36">
            <v>10150</v>
          </cell>
          <cell r="B36" t="str">
            <v>TELHADISTA</v>
          </cell>
          <cell r="C36" t="str">
            <v>H</v>
          </cell>
          <cell r="D36">
            <v>5.54</v>
          </cell>
          <cell r="E36">
            <v>0</v>
          </cell>
        </row>
        <row r="37">
          <cell r="A37">
            <v>10153</v>
          </cell>
          <cell r="B37" t="str">
            <v>BLASTER</v>
          </cell>
          <cell r="C37" t="str">
            <v>H</v>
          </cell>
          <cell r="D37">
            <v>5.54</v>
          </cell>
          <cell r="E37">
            <v>0</v>
          </cell>
        </row>
        <row r="38">
          <cell r="A38">
            <v>10209</v>
          </cell>
          <cell r="B38" t="str">
            <v>TOPOGRAFO - (TECNICO 2O GRAU NIVEL C)</v>
          </cell>
          <cell r="C38" t="str">
            <v>H</v>
          </cell>
          <cell r="D38">
            <v>8.86</v>
          </cell>
          <cell r="E38">
            <v>0</v>
          </cell>
        </row>
        <row r="39">
          <cell r="A39">
            <v>10222</v>
          </cell>
          <cell r="B39" t="str">
            <v>CANTEIRO</v>
          </cell>
          <cell r="C39" t="str">
            <v>H</v>
          </cell>
          <cell r="D39">
            <v>5.54</v>
          </cell>
          <cell r="E39">
            <v>0</v>
          </cell>
        </row>
        <row r="40">
          <cell r="A40">
            <v>10233</v>
          </cell>
          <cell r="B40" t="str">
            <v>NIVELADOR</v>
          </cell>
          <cell r="C40" t="str">
            <v>H</v>
          </cell>
          <cell r="D40">
            <v>3.8</v>
          </cell>
          <cell r="E40">
            <v>0</v>
          </cell>
        </row>
        <row r="41">
          <cell r="A41">
            <v>10235</v>
          </cell>
          <cell r="B41" t="str">
            <v>AUXILIAR DE CAMPO</v>
          </cell>
          <cell r="C41" t="str">
            <v>H</v>
          </cell>
          <cell r="D41">
            <v>3.8</v>
          </cell>
          <cell r="E41">
            <v>0</v>
          </cell>
        </row>
        <row r="42">
          <cell r="A42">
            <v>20356</v>
          </cell>
          <cell r="B42" t="str">
            <v>MOURAO RETO DE CONCRETO BASE 10X10CM H=2.50M</v>
          </cell>
          <cell r="C42" t="str">
            <v>UN</v>
          </cell>
          <cell r="D42">
            <v>33.85</v>
          </cell>
          <cell r="E42">
            <v>0</v>
          </cell>
        </row>
        <row r="43">
          <cell r="A43">
            <v>20416</v>
          </cell>
          <cell r="B43" t="str">
            <v>CONCRETO USINADO FCK 30 MPA</v>
          </cell>
          <cell r="C43" t="str">
            <v>M3</v>
          </cell>
          <cell r="D43">
            <v>253.6</v>
          </cell>
          <cell r="E43">
            <v>0</v>
          </cell>
        </row>
        <row r="44">
          <cell r="A44">
            <v>20463</v>
          </cell>
          <cell r="B44" t="str">
            <v>REJUNTE JUNTAPLUS FINA COR CINZA</v>
          </cell>
          <cell r="C44" t="str">
            <v>KG</v>
          </cell>
          <cell r="D44">
            <v>3.58</v>
          </cell>
          <cell r="E44">
            <v>0</v>
          </cell>
        </row>
        <row r="45">
          <cell r="A45">
            <v>20468</v>
          </cell>
          <cell r="B45" t="str">
            <v>REJUNTE PORCELANATO QUARTZOLIT</v>
          </cell>
          <cell r="C45" t="str">
            <v>KG</v>
          </cell>
          <cell r="D45">
            <v>4.41</v>
          </cell>
          <cell r="E45">
            <v>0</v>
          </cell>
        </row>
        <row r="46">
          <cell r="A46">
            <v>20503</v>
          </cell>
          <cell r="B46" t="str">
            <v>AREIA LAVADA MEDIA</v>
          </cell>
          <cell r="C46" t="str">
            <v>M3</v>
          </cell>
          <cell r="D46">
            <v>52.07</v>
          </cell>
          <cell r="E46">
            <v>0</v>
          </cell>
        </row>
        <row r="47">
          <cell r="A47">
            <v>20505</v>
          </cell>
          <cell r="B47" t="str">
            <v>CAL HIDRATADO</v>
          </cell>
          <cell r="C47" t="str">
            <v>KG</v>
          </cell>
          <cell r="D47">
            <v>0.64</v>
          </cell>
          <cell r="E47">
            <v>0</v>
          </cell>
        </row>
        <row r="48">
          <cell r="A48">
            <v>20508</v>
          </cell>
          <cell r="B48" t="str">
            <v>CIMENTO CP III - 40</v>
          </cell>
          <cell r="C48" t="str">
            <v>KG</v>
          </cell>
          <cell r="D48">
            <v>0.38</v>
          </cell>
          <cell r="E48">
            <v>0</v>
          </cell>
        </row>
        <row r="49">
          <cell r="A49">
            <v>20509</v>
          </cell>
          <cell r="B49" t="str">
            <v>CIMENTO BRANCO NAO ESTRUTURAL</v>
          </cell>
          <cell r="C49" t="str">
            <v>KG</v>
          </cell>
          <cell r="D49">
            <v>2.7</v>
          </cell>
          <cell r="E49">
            <v>0</v>
          </cell>
        </row>
        <row r="50">
          <cell r="A50">
            <v>20510</v>
          </cell>
          <cell r="B50" t="str">
            <v>CIMENTO COLANTE INDUSTRIALIZADO AC I</v>
          </cell>
          <cell r="C50" t="str">
            <v>KG</v>
          </cell>
          <cell r="D50">
            <v>0.66</v>
          </cell>
          <cell r="E50">
            <v>0</v>
          </cell>
        </row>
        <row r="51">
          <cell r="A51">
            <v>20514</v>
          </cell>
          <cell r="B51" t="str">
            <v>CONCRETO USINADO FCK 20 MPA</v>
          </cell>
          <cell r="C51" t="str">
            <v>M3</v>
          </cell>
          <cell r="D51">
            <v>238.79</v>
          </cell>
          <cell r="E51">
            <v>0</v>
          </cell>
        </row>
        <row r="52">
          <cell r="A52">
            <v>20516</v>
          </cell>
          <cell r="B52" t="str">
            <v>GESSO EM PÓ</v>
          </cell>
          <cell r="C52" t="str">
            <v>KG</v>
          </cell>
          <cell r="D52">
            <v>0.64</v>
          </cell>
          <cell r="E52">
            <v>0</v>
          </cell>
        </row>
        <row r="53">
          <cell r="A53">
            <v>20517</v>
          </cell>
          <cell r="B53" t="str">
            <v>BRITA 1</v>
          </cell>
          <cell r="C53" t="str">
            <v>M3</v>
          </cell>
          <cell r="D53">
            <v>58.16</v>
          </cell>
          <cell r="E53">
            <v>0</v>
          </cell>
        </row>
        <row r="54">
          <cell r="A54">
            <v>20518</v>
          </cell>
          <cell r="B54" t="str">
            <v>BRITA 2</v>
          </cell>
          <cell r="C54" t="str">
            <v>M3</v>
          </cell>
          <cell r="D54">
            <v>58.16</v>
          </cell>
          <cell r="E54">
            <v>0</v>
          </cell>
        </row>
        <row r="55">
          <cell r="A55">
            <v>20519</v>
          </cell>
          <cell r="B55" t="str">
            <v>BRITA 3</v>
          </cell>
          <cell r="C55" t="str">
            <v>M3</v>
          </cell>
          <cell r="D55">
            <v>58.16</v>
          </cell>
          <cell r="E55">
            <v>0</v>
          </cell>
        </row>
        <row r="56">
          <cell r="A56">
            <v>20520</v>
          </cell>
          <cell r="B56" t="str">
            <v>BRITA 4</v>
          </cell>
          <cell r="C56" t="str">
            <v>M3</v>
          </cell>
          <cell r="D56">
            <v>58.16</v>
          </cell>
          <cell r="E56">
            <v>0</v>
          </cell>
        </row>
        <row r="57">
          <cell r="A57">
            <v>20521</v>
          </cell>
          <cell r="B57" t="str">
            <v>PEDRA DE MAO (RACHAO)</v>
          </cell>
          <cell r="C57" t="str">
            <v>M3</v>
          </cell>
          <cell r="D57">
            <v>56.15</v>
          </cell>
          <cell r="E57">
            <v>0</v>
          </cell>
        </row>
        <row r="58">
          <cell r="A58">
            <v>20522</v>
          </cell>
          <cell r="B58" t="str">
            <v>PEDRISCO</v>
          </cell>
          <cell r="C58" t="str">
            <v>M3</v>
          </cell>
          <cell r="D58">
            <v>75.489999999999995</v>
          </cell>
          <cell r="E58">
            <v>0</v>
          </cell>
        </row>
        <row r="59">
          <cell r="A59">
            <v>20524</v>
          </cell>
          <cell r="B59" t="str">
            <v>PO DE PEDRA</v>
          </cell>
          <cell r="C59" t="str">
            <v>M3</v>
          </cell>
          <cell r="D59">
            <v>48.81</v>
          </cell>
          <cell r="E59">
            <v>0</v>
          </cell>
        </row>
        <row r="60">
          <cell r="A60">
            <v>20553</v>
          </cell>
          <cell r="B60" t="str">
            <v>BRITA N.3 E 4</v>
          </cell>
          <cell r="C60" t="str">
            <v>M3</v>
          </cell>
          <cell r="D60">
            <v>58.16</v>
          </cell>
          <cell r="E60">
            <v>0</v>
          </cell>
        </row>
        <row r="61">
          <cell r="A61">
            <v>20554</v>
          </cell>
          <cell r="B61" t="str">
            <v>BARRO PARA ATERRO</v>
          </cell>
          <cell r="C61" t="str">
            <v>M3</v>
          </cell>
          <cell r="D61">
            <v>26.25</v>
          </cell>
          <cell r="E61">
            <v>0</v>
          </cell>
        </row>
        <row r="62">
          <cell r="A62">
            <v>20556</v>
          </cell>
          <cell r="B62" t="str">
            <v>BARRO PARA REBOCO - SINAPI 6076</v>
          </cell>
          <cell r="C62" t="str">
            <v>M3</v>
          </cell>
          <cell r="D62">
            <v>59.42</v>
          </cell>
          <cell r="E62">
            <v>0</v>
          </cell>
        </row>
        <row r="63">
          <cell r="A63">
            <v>20567</v>
          </cell>
          <cell r="B63" t="str">
            <v>CONCRETO USINADO FCK 25 MPA</v>
          </cell>
          <cell r="C63" t="str">
            <v>M3</v>
          </cell>
          <cell r="D63">
            <v>245.64</v>
          </cell>
          <cell r="E63">
            <v>0</v>
          </cell>
        </row>
        <row r="64">
          <cell r="A64">
            <v>20568</v>
          </cell>
          <cell r="B64" t="str">
            <v>CONC USINADO FCK 30MPA - 424KG CIM FATOR A/C 0.45</v>
          </cell>
          <cell r="C64" t="str">
            <v>M3</v>
          </cell>
          <cell r="D64">
            <v>322.99</v>
          </cell>
          <cell r="E64">
            <v>0</v>
          </cell>
        </row>
        <row r="65">
          <cell r="A65">
            <v>20571</v>
          </cell>
          <cell r="B65" t="str">
            <v>BRITA 1 E 2 (MEDIA)</v>
          </cell>
          <cell r="C65" t="str">
            <v>M3</v>
          </cell>
          <cell r="D65">
            <v>58.16</v>
          </cell>
          <cell r="E65">
            <v>0</v>
          </cell>
        </row>
        <row r="66">
          <cell r="A66">
            <v>20572</v>
          </cell>
          <cell r="B66" t="str">
            <v>ARGAMASSA FINA PRE FABRICADA P/ ASSENT PASTILHAS</v>
          </cell>
          <cell r="C66" t="str">
            <v>KG</v>
          </cell>
          <cell r="D66">
            <v>2.5099999999999998</v>
          </cell>
          <cell r="E66">
            <v>0</v>
          </cell>
        </row>
        <row r="67">
          <cell r="A67">
            <v>20578</v>
          </cell>
          <cell r="B67" t="str">
            <v>AREIA FINA</v>
          </cell>
          <cell r="C67" t="str">
            <v>M3</v>
          </cell>
          <cell r="D67">
            <v>61</v>
          </cell>
          <cell r="E67">
            <v>0</v>
          </cell>
        </row>
        <row r="68">
          <cell r="A68">
            <v>20580</v>
          </cell>
          <cell r="B68" t="str">
            <v>AREIA PARA ATERRO</v>
          </cell>
          <cell r="C68" t="str">
            <v>M3</v>
          </cell>
          <cell r="D68">
            <v>38.25</v>
          </cell>
          <cell r="E68">
            <v>0</v>
          </cell>
        </row>
        <row r="69">
          <cell r="A69">
            <v>20584</v>
          </cell>
          <cell r="B69" t="str">
            <v>ARGAMASSA PARA GRAUTEAMENTO TIPO SIKAGROUT</v>
          </cell>
          <cell r="C69" t="str">
            <v>KG</v>
          </cell>
          <cell r="D69">
            <v>1.29</v>
          </cell>
          <cell r="E69">
            <v>0</v>
          </cell>
        </row>
        <row r="70">
          <cell r="A70">
            <v>20588</v>
          </cell>
          <cell r="B70" t="str">
            <v>REJUNTE PRE-FABRICADA</v>
          </cell>
          <cell r="C70" t="str">
            <v>KG</v>
          </cell>
          <cell r="D70">
            <v>2.4</v>
          </cell>
          <cell r="E70">
            <v>0</v>
          </cell>
        </row>
        <row r="71">
          <cell r="A71">
            <v>20732</v>
          </cell>
          <cell r="B71" t="str">
            <v>ARGAM COLANTE FLEXIVEL AC III P/ ASSENT. PORCELAN</v>
          </cell>
          <cell r="C71" t="str">
            <v>KG</v>
          </cell>
          <cell r="D71">
            <v>2.12</v>
          </cell>
          <cell r="E71">
            <v>0</v>
          </cell>
        </row>
        <row r="72">
          <cell r="A72">
            <v>20746</v>
          </cell>
          <cell r="B72" t="str">
            <v>ARGAMASSA TIXOTROPICA SIKA MONOTOP 622 BR</v>
          </cell>
          <cell r="C72" t="str">
            <v>KG</v>
          </cell>
          <cell r="D72">
            <v>2.4300000000000002</v>
          </cell>
          <cell r="E72">
            <v>0</v>
          </cell>
        </row>
        <row r="73">
          <cell r="A73">
            <v>20910</v>
          </cell>
          <cell r="B73" t="str">
            <v>FORMICA BRANCA ACABAMENTO FROST</v>
          </cell>
          <cell r="C73" t="str">
            <v>M2</v>
          </cell>
          <cell r="D73">
            <v>23.11</v>
          </cell>
          <cell r="E73">
            <v>0</v>
          </cell>
        </row>
        <row r="74">
          <cell r="A74">
            <v>21004</v>
          </cell>
          <cell r="B74" t="str">
            <v>MADEIRA COMPENSADA DE PINHO 8MM</v>
          </cell>
          <cell r="C74" t="str">
            <v>M2</v>
          </cell>
          <cell r="D74">
            <v>25</v>
          </cell>
          <cell r="E74">
            <v>0</v>
          </cell>
        </row>
        <row r="75">
          <cell r="A75">
            <v>21005</v>
          </cell>
          <cell r="B75" t="str">
            <v>MADEIRA (PEROBA)</v>
          </cell>
          <cell r="C75" t="str">
            <v>M3</v>
          </cell>
          <cell r="D75">
            <v>3848.48</v>
          </cell>
          <cell r="E75">
            <v>0</v>
          </cell>
        </row>
        <row r="76">
          <cell r="A76">
            <v>21009</v>
          </cell>
          <cell r="B76" t="str">
            <v>PONTALETE DE MADEIRA 8.0 X 8.0 CM</v>
          </cell>
          <cell r="C76" t="str">
            <v>M</v>
          </cell>
          <cell r="D76">
            <v>19.149999999999999</v>
          </cell>
          <cell r="E76">
            <v>0</v>
          </cell>
        </row>
        <row r="77">
          <cell r="A77">
            <v>21016</v>
          </cell>
          <cell r="B77" t="str">
            <v>SARRAFO DE MADEIRA 10 X 2.5 CM (TAIPA DE 1A)</v>
          </cell>
          <cell r="C77" t="str">
            <v>M</v>
          </cell>
          <cell r="D77">
            <v>4.95</v>
          </cell>
          <cell r="E77">
            <v>0</v>
          </cell>
        </row>
        <row r="78">
          <cell r="A78">
            <v>21018</v>
          </cell>
          <cell r="B78" t="str">
            <v>SARRAFO DE MADEIRA DE 2.5 X 8.0 CM BRUTA</v>
          </cell>
          <cell r="C78" t="str">
            <v>M</v>
          </cell>
          <cell r="D78">
            <v>4.29</v>
          </cell>
          <cell r="E78">
            <v>0</v>
          </cell>
        </row>
        <row r="79">
          <cell r="A79">
            <v>21021</v>
          </cell>
          <cell r="B79" t="str">
            <v>TABUA DE MADEIRA 2.5 X 30.0 CM (TAIPA DE 1A)</v>
          </cell>
          <cell r="C79" t="str">
            <v>M2</v>
          </cell>
          <cell r="D79">
            <v>38.799999999999997</v>
          </cell>
          <cell r="E79">
            <v>0</v>
          </cell>
        </row>
        <row r="80">
          <cell r="A80">
            <v>21023</v>
          </cell>
          <cell r="B80" t="str">
            <v>TACO P/ FIXACAO DE BATENTE/RODAPE 10X10X2,5 CM</v>
          </cell>
          <cell r="C80" t="str">
            <v>UN</v>
          </cell>
          <cell r="D80">
            <v>1.97</v>
          </cell>
          <cell r="E80">
            <v>0</v>
          </cell>
        </row>
        <row r="81">
          <cell r="A81">
            <v>21028</v>
          </cell>
          <cell r="B81" t="str">
            <v>CHAPA COMPENSADO NAVAL 15 MM, DIM. 2.20 X 1.60 M</v>
          </cell>
          <cell r="C81" t="str">
            <v>FL</v>
          </cell>
          <cell r="D81">
            <v>108.16</v>
          </cell>
          <cell r="E81">
            <v>0</v>
          </cell>
        </row>
        <row r="82">
          <cell r="A82">
            <v>21030</v>
          </cell>
          <cell r="B82" t="str">
            <v>CHAPA COMPENSADA RESINADA 6MM</v>
          </cell>
          <cell r="C82" t="str">
            <v>M2</v>
          </cell>
          <cell r="D82">
            <v>6.98</v>
          </cell>
          <cell r="E82">
            <v>0</v>
          </cell>
        </row>
        <row r="83">
          <cell r="A83">
            <v>21031</v>
          </cell>
          <cell r="B83" t="str">
            <v>CHAPA COMPENSADA RESINADA 10MM</v>
          </cell>
          <cell r="C83" t="str">
            <v>M2</v>
          </cell>
          <cell r="D83">
            <v>10.67</v>
          </cell>
          <cell r="E83">
            <v>0</v>
          </cell>
        </row>
        <row r="84">
          <cell r="A84">
            <v>21032</v>
          </cell>
          <cell r="B84" t="str">
            <v>CHAPA COMPENSADA RESINADA 12MM</v>
          </cell>
          <cell r="C84" t="str">
            <v>M2</v>
          </cell>
          <cell r="D84">
            <v>14.07</v>
          </cell>
          <cell r="E84">
            <v>0</v>
          </cell>
        </row>
        <row r="85">
          <cell r="A85">
            <v>21033</v>
          </cell>
          <cell r="B85" t="str">
            <v>CHAPA COMPENSADA PLASTIFICADA 12MM</v>
          </cell>
          <cell r="C85" t="str">
            <v>M2</v>
          </cell>
          <cell r="D85">
            <v>23.26</v>
          </cell>
          <cell r="E85">
            <v>0</v>
          </cell>
        </row>
        <row r="86">
          <cell r="A86">
            <v>21039</v>
          </cell>
          <cell r="B86" t="str">
            <v>PECA EM MADEIRA DE LEI 7.0 X 5.0 CM (BRUTA)</v>
          </cell>
          <cell r="C86" t="str">
            <v>M</v>
          </cell>
          <cell r="D86">
            <v>10.7</v>
          </cell>
          <cell r="E86">
            <v>0</v>
          </cell>
        </row>
        <row r="87">
          <cell r="A87">
            <v>21040</v>
          </cell>
          <cell r="B87" t="str">
            <v>PECA EM MADEIRA DE LEI 8.0 X 8.0 CM</v>
          </cell>
          <cell r="C87" t="str">
            <v>M</v>
          </cell>
          <cell r="D87">
            <v>20.13</v>
          </cell>
          <cell r="E87">
            <v>0</v>
          </cell>
        </row>
        <row r="88">
          <cell r="A88">
            <v>21041</v>
          </cell>
          <cell r="B88" t="str">
            <v>PECA EM MADEIRA DE LEI 5.0 X 10.0 CM (APARELHADA)</v>
          </cell>
          <cell r="C88" t="str">
            <v>M</v>
          </cell>
          <cell r="D88">
            <v>14.4</v>
          </cell>
          <cell r="E88">
            <v>0</v>
          </cell>
        </row>
        <row r="89">
          <cell r="A89">
            <v>21042</v>
          </cell>
          <cell r="B89" t="str">
            <v>PECA EM MADEIRA DE LEI 7.0 X 12.0 CM (APARELHADA)</v>
          </cell>
          <cell r="C89" t="str">
            <v>M</v>
          </cell>
          <cell r="D89">
            <v>20.88</v>
          </cell>
          <cell r="E89">
            <v>0</v>
          </cell>
        </row>
        <row r="90">
          <cell r="A90">
            <v>21043</v>
          </cell>
          <cell r="B90" t="str">
            <v>PECA EM MADEIRA DE LEI 15.0 X 20.0 CM (APARELHADA)</v>
          </cell>
          <cell r="C90" t="str">
            <v>M</v>
          </cell>
          <cell r="D90">
            <v>144.38</v>
          </cell>
          <cell r="E90">
            <v>0</v>
          </cell>
        </row>
        <row r="91">
          <cell r="A91">
            <v>21060</v>
          </cell>
          <cell r="B91" t="str">
            <v>RIPA EM MADEIRA DE LEI 1.5 X 5.0 CM</v>
          </cell>
          <cell r="C91" t="str">
            <v>M</v>
          </cell>
          <cell r="D91">
            <v>3.5</v>
          </cell>
          <cell r="E91">
            <v>0</v>
          </cell>
        </row>
        <row r="92">
          <cell r="A92">
            <v>21061</v>
          </cell>
          <cell r="B92" t="str">
            <v>RIPA EM MADEIRA DE LEI 1.5 X 4.0 CM</v>
          </cell>
          <cell r="C92" t="str">
            <v>M</v>
          </cell>
          <cell r="D92">
            <v>2.58</v>
          </cell>
          <cell r="E92">
            <v>0</v>
          </cell>
        </row>
        <row r="93">
          <cell r="A93">
            <v>21076</v>
          </cell>
          <cell r="B93" t="str">
            <v>PECA EM MADEIRA DE LEI 4 X 5 CM (BRUTA)</v>
          </cell>
          <cell r="C93" t="str">
            <v>M</v>
          </cell>
          <cell r="D93">
            <v>7.95</v>
          </cell>
          <cell r="E93">
            <v>0</v>
          </cell>
        </row>
        <row r="94">
          <cell r="A94">
            <v>21078</v>
          </cell>
          <cell r="B94" t="str">
            <v>MADEIRA COMPENSADA ESPESSURA 15 MM</v>
          </cell>
          <cell r="C94" t="str">
            <v>M2</v>
          </cell>
          <cell r="D94">
            <v>30.32</v>
          </cell>
          <cell r="E94">
            <v>0</v>
          </cell>
        </row>
        <row r="95">
          <cell r="A95">
            <v>21083</v>
          </cell>
          <cell r="B95" t="str">
            <v>RIPA DE MADEIRA 2 X 5 CM</v>
          </cell>
          <cell r="C95" t="str">
            <v>M</v>
          </cell>
          <cell r="D95">
            <v>2.91</v>
          </cell>
          <cell r="E95">
            <v>0</v>
          </cell>
        </row>
        <row r="96">
          <cell r="A96">
            <v>21085</v>
          </cell>
          <cell r="B96" t="str">
            <v>MADEIRA PARA TELHADO EM PARAJU</v>
          </cell>
          <cell r="C96" t="str">
            <v>M3</v>
          </cell>
          <cell r="D96">
            <v>3011.61</v>
          </cell>
          <cell r="E96">
            <v>0</v>
          </cell>
        </row>
        <row r="97">
          <cell r="A97">
            <v>21086</v>
          </cell>
          <cell r="B97" t="str">
            <v>PONTALETE EM PARAJU 3X3"</v>
          </cell>
          <cell r="C97" t="str">
            <v>M</v>
          </cell>
          <cell r="D97">
            <v>11.74</v>
          </cell>
          <cell r="E97">
            <v>0</v>
          </cell>
        </row>
        <row r="98">
          <cell r="A98">
            <v>21087</v>
          </cell>
          <cell r="B98" t="str">
            <v>PECA EM MADEIRA DE LEI 8 X 15 CM (APARELHADA)</v>
          </cell>
          <cell r="C98" t="str">
            <v>M</v>
          </cell>
          <cell r="D98">
            <v>28.36</v>
          </cell>
          <cell r="E98">
            <v>0</v>
          </cell>
        </row>
        <row r="99">
          <cell r="A99">
            <v>21089</v>
          </cell>
          <cell r="B99" t="str">
            <v>RIPA DE 7 X 2 CM</v>
          </cell>
          <cell r="C99" t="str">
            <v>M</v>
          </cell>
          <cell r="D99">
            <v>6.24</v>
          </cell>
          <cell r="E99">
            <v>0</v>
          </cell>
        </row>
        <row r="100">
          <cell r="A100">
            <v>21090</v>
          </cell>
          <cell r="B100" t="str">
            <v>FORMICA TIPO LOUSA ESCOLAR</v>
          </cell>
          <cell r="C100" t="str">
            <v>M2</v>
          </cell>
          <cell r="D100">
            <v>44.71</v>
          </cell>
          <cell r="E100">
            <v>0</v>
          </cell>
        </row>
        <row r="101">
          <cell r="A101">
            <v>21091</v>
          </cell>
          <cell r="B101" t="str">
            <v>FORMICA LISA BRILHANTE</v>
          </cell>
          <cell r="C101" t="str">
            <v>M2</v>
          </cell>
          <cell r="D101">
            <v>15.36</v>
          </cell>
          <cell r="E101">
            <v>0</v>
          </cell>
        </row>
        <row r="102">
          <cell r="A102">
            <v>21093</v>
          </cell>
          <cell r="B102" t="str">
            <v>TABUA EM MADEIRA APARELHADA 40 X 3 CM</v>
          </cell>
          <cell r="C102" t="str">
            <v>M</v>
          </cell>
          <cell r="D102">
            <v>70.430000000000007</v>
          </cell>
          <cell r="E102">
            <v>0</v>
          </cell>
        </row>
        <row r="103">
          <cell r="A103">
            <v>21094</v>
          </cell>
          <cell r="B103" t="str">
            <v>TABUA EM MADEIRA DE LEI 30 X 3 CM APARELHADA</v>
          </cell>
          <cell r="C103" t="str">
            <v>M</v>
          </cell>
          <cell r="D103">
            <v>48.44</v>
          </cell>
          <cell r="E103">
            <v>0</v>
          </cell>
        </row>
        <row r="104">
          <cell r="A104">
            <v>21097</v>
          </cell>
          <cell r="B104" t="str">
            <v>PECA EM MADEIRA DE LEI 8.0 X 12.0 CM (APARELHADA)</v>
          </cell>
          <cell r="C104" t="str">
            <v>M</v>
          </cell>
          <cell r="D104">
            <v>21.18</v>
          </cell>
          <cell r="E104">
            <v>0</v>
          </cell>
        </row>
        <row r="105">
          <cell r="A105">
            <v>21103</v>
          </cell>
          <cell r="B105" t="str">
            <v>TABUA DE MADEIRA DE 2.5 X 30.0 CM (TAIPA DE 1A)</v>
          </cell>
          <cell r="C105" t="str">
            <v>M</v>
          </cell>
          <cell r="D105">
            <v>11.64</v>
          </cell>
          <cell r="E105">
            <v>0</v>
          </cell>
        </row>
        <row r="106">
          <cell r="A106">
            <v>21106</v>
          </cell>
          <cell r="B106" t="str">
            <v>PECA EM MADEIRA DE LEI 10.0 X 2.5 CM (BRUTA)</v>
          </cell>
          <cell r="C106" t="str">
            <v>M</v>
          </cell>
          <cell r="D106">
            <v>8.7200000000000006</v>
          </cell>
          <cell r="E106">
            <v>0</v>
          </cell>
        </row>
        <row r="107">
          <cell r="A107">
            <v>21108</v>
          </cell>
          <cell r="B107" t="str">
            <v>TABUA EM MADEIRA DE LEI DE 20 CM DE LARGURA</v>
          </cell>
          <cell r="C107" t="str">
            <v>M</v>
          </cell>
          <cell r="D107">
            <v>30.12</v>
          </cell>
          <cell r="E107">
            <v>0</v>
          </cell>
        </row>
        <row r="108">
          <cell r="A108">
            <v>21109</v>
          </cell>
          <cell r="B108" t="str">
            <v>ESCORA DE EUCALIPTO (COMP.=3.50M)</v>
          </cell>
          <cell r="C108" t="str">
            <v>DZ</v>
          </cell>
          <cell r="D108">
            <v>73.760000000000005</v>
          </cell>
          <cell r="E108">
            <v>0</v>
          </cell>
        </row>
        <row r="109">
          <cell r="A109">
            <v>21111</v>
          </cell>
          <cell r="B109" t="str">
            <v>PECA EM MADEIRA DE LEI 6X16CM (BRUTA)</v>
          </cell>
          <cell r="C109" t="str">
            <v>M</v>
          </cell>
          <cell r="D109">
            <v>22.8</v>
          </cell>
          <cell r="E109">
            <v>0</v>
          </cell>
        </row>
        <row r="110">
          <cell r="A110">
            <v>21116</v>
          </cell>
          <cell r="B110" t="str">
            <v>CHAPA COMPENSADA ESP. 4 MM</v>
          </cell>
          <cell r="C110" t="str">
            <v>M2</v>
          </cell>
          <cell r="D110">
            <v>13.63</v>
          </cell>
          <cell r="E110">
            <v>0</v>
          </cell>
        </row>
        <row r="111">
          <cell r="A111">
            <v>21118</v>
          </cell>
          <cell r="B111" t="str">
            <v>PEÇA EM MADEIRA DE LEI 7X12CM (BRUTA)</v>
          </cell>
          <cell r="C111" t="str">
            <v>M</v>
          </cell>
          <cell r="D111">
            <v>18.23</v>
          </cell>
          <cell r="E111">
            <v>0</v>
          </cell>
        </row>
        <row r="112">
          <cell r="A112">
            <v>21120</v>
          </cell>
          <cell r="B112" t="str">
            <v>PRANCHAO DE MADEIRA DE LEI 7,5 CM</v>
          </cell>
          <cell r="C112" t="str">
            <v>M3</v>
          </cell>
          <cell r="D112">
            <v>2980.81</v>
          </cell>
          <cell r="E112">
            <v>0</v>
          </cell>
        </row>
        <row r="113">
          <cell r="A113">
            <v>21121</v>
          </cell>
          <cell r="B113" t="str">
            <v>TABUA DE MADEIRA DE 1A 2.5X30CM</v>
          </cell>
          <cell r="C113" t="str">
            <v>M2</v>
          </cell>
          <cell r="D113">
            <v>38.799999999999997</v>
          </cell>
          <cell r="E113">
            <v>0</v>
          </cell>
        </row>
        <row r="114">
          <cell r="A114">
            <v>21144</v>
          </cell>
          <cell r="B114" t="str">
            <v>PECA EM MADEIRA DE LEI 7X5CM (BRUTA)</v>
          </cell>
          <cell r="C114" t="str">
            <v>M</v>
          </cell>
          <cell r="D114">
            <v>10.7</v>
          </cell>
          <cell r="E114">
            <v>0</v>
          </cell>
        </row>
        <row r="115">
          <cell r="A115">
            <v>21151</v>
          </cell>
          <cell r="B115" t="str">
            <v>PEÇA EM MADEIRA DE LEI 2X1 CM (BRUTA)</v>
          </cell>
          <cell r="C115" t="str">
            <v>M</v>
          </cell>
          <cell r="D115">
            <v>2.16</v>
          </cell>
          <cell r="E115">
            <v>0</v>
          </cell>
        </row>
        <row r="116">
          <cell r="A116">
            <v>21170</v>
          </cell>
          <cell r="B116" t="str">
            <v>PECA EM MADEIRA DE LEI 8.5 X 2 CM (BRUTA)</v>
          </cell>
          <cell r="C116" t="str">
            <v>M</v>
          </cell>
          <cell r="D116">
            <v>8.31</v>
          </cell>
          <cell r="E116">
            <v>0</v>
          </cell>
        </row>
        <row r="117">
          <cell r="A117">
            <v>21188</v>
          </cell>
          <cell r="B117" t="str">
            <v>PECA EM MADEIRA DE LEI 7 X 2 CM (BRUTA)</v>
          </cell>
          <cell r="C117" t="str">
            <v>M</v>
          </cell>
          <cell r="D117">
            <v>5.43</v>
          </cell>
          <cell r="E117">
            <v>0</v>
          </cell>
        </row>
        <row r="118">
          <cell r="A118">
            <v>21205</v>
          </cell>
          <cell r="B118" t="str">
            <v>ANDAIME MET TUBULAR FACHADA - LOCACAO (M/MÊS)</v>
          </cell>
          <cell r="C118" t="str">
            <v>M</v>
          </cell>
          <cell r="D118">
            <v>7.57</v>
          </cell>
          <cell r="E118">
            <v>0</v>
          </cell>
        </row>
        <row r="119">
          <cell r="A119">
            <v>21211</v>
          </cell>
          <cell r="B119" t="str">
            <v>ANDAIME PARA FACHADA (LOCAÇÃO MENSAL)</v>
          </cell>
          <cell r="C119" t="str">
            <v>M2</v>
          </cell>
          <cell r="D119">
            <v>3.81</v>
          </cell>
          <cell r="E119">
            <v>0</v>
          </cell>
        </row>
        <row r="120">
          <cell r="A120">
            <v>21216</v>
          </cell>
          <cell r="B120" t="str">
            <v>PECA EM MADEIRA DE LEI 7.5 X 25 CM (APARELHADA)</v>
          </cell>
          <cell r="C120" t="str">
            <v>M</v>
          </cell>
          <cell r="D120">
            <v>57.58</v>
          </cell>
          <cell r="E120">
            <v>0</v>
          </cell>
        </row>
        <row r="121">
          <cell r="A121">
            <v>21306</v>
          </cell>
          <cell r="B121" t="str">
            <v>RIPA EM PARAJU DE 10 X 2 CM APARELHADA</v>
          </cell>
          <cell r="C121" t="str">
            <v>M</v>
          </cell>
          <cell r="D121">
            <v>9.7200000000000006</v>
          </cell>
          <cell r="E121">
            <v>0</v>
          </cell>
        </row>
        <row r="122">
          <cell r="A122">
            <v>21516</v>
          </cell>
          <cell r="B122" t="str">
            <v>ACO CA-50 DE 6.3MM</v>
          </cell>
          <cell r="C122" t="str">
            <v>KG</v>
          </cell>
          <cell r="D122">
            <v>3.38</v>
          </cell>
          <cell r="E122">
            <v>0</v>
          </cell>
        </row>
        <row r="123">
          <cell r="A123">
            <v>21517</v>
          </cell>
          <cell r="B123" t="str">
            <v>ACO CA-50 DE 8.0MM</v>
          </cell>
          <cell r="C123" t="str">
            <v>KG</v>
          </cell>
          <cell r="D123">
            <v>3.38</v>
          </cell>
          <cell r="E123">
            <v>0</v>
          </cell>
        </row>
        <row r="124">
          <cell r="A124">
            <v>21518</v>
          </cell>
          <cell r="B124" t="str">
            <v>ACO CA-50 DE 10.0MM</v>
          </cell>
          <cell r="C124" t="str">
            <v>KG</v>
          </cell>
          <cell r="D124">
            <v>3.22</v>
          </cell>
          <cell r="E124">
            <v>0</v>
          </cell>
        </row>
        <row r="125">
          <cell r="A125">
            <v>21519</v>
          </cell>
          <cell r="B125" t="str">
            <v>ACO CA-50 DE 12.5MM (1/2")</v>
          </cell>
          <cell r="C125" t="str">
            <v>KG</v>
          </cell>
          <cell r="D125">
            <v>3.11</v>
          </cell>
          <cell r="E125">
            <v>0</v>
          </cell>
        </row>
        <row r="126">
          <cell r="A126">
            <v>21521</v>
          </cell>
          <cell r="B126" t="str">
            <v>ACO CA-50 DE 20.0MM</v>
          </cell>
          <cell r="C126" t="str">
            <v>KG</v>
          </cell>
          <cell r="D126">
            <v>3.11</v>
          </cell>
          <cell r="E126">
            <v>0</v>
          </cell>
        </row>
        <row r="127">
          <cell r="A127">
            <v>21532</v>
          </cell>
          <cell r="B127" t="str">
            <v>ACO CA-60 DE 5.0MM</v>
          </cell>
          <cell r="C127" t="str">
            <v>KG</v>
          </cell>
          <cell r="D127">
            <v>3.13</v>
          </cell>
          <cell r="E127">
            <v>0</v>
          </cell>
        </row>
        <row r="128">
          <cell r="A128">
            <v>21543</v>
          </cell>
          <cell r="B128" t="str">
            <v>TELA SOLDADA EM AÇO TIPO TELCON Q-138 P/ ARMADURA</v>
          </cell>
          <cell r="C128" t="str">
            <v>M2</v>
          </cell>
          <cell r="D128">
            <v>10.67</v>
          </cell>
          <cell r="E128">
            <v>0</v>
          </cell>
        </row>
        <row r="129">
          <cell r="A129">
            <v>22001</v>
          </cell>
          <cell r="B129" t="str">
            <v>LAJE PRE-FABRICADA DE 8CM (FORRO)</v>
          </cell>
          <cell r="C129" t="str">
            <v>M2</v>
          </cell>
          <cell r="D129">
            <v>22.87</v>
          </cell>
          <cell r="E129">
            <v>0</v>
          </cell>
        </row>
        <row r="130">
          <cell r="A130">
            <v>22002</v>
          </cell>
          <cell r="B130" t="str">
            <v>LAJE PRE-FABRICADA DE 8CM (SOB 300KG/M2)</v>
          </cell>
          <cell r="C130" t="str">
            <v>M2</v>
          </cell>
          <cell r="D130">
            <v>24.45</v>
          </cell>
          <cell r="E130">
            <v>0</v>
          </cell>
        </row>
        <row r="131">
          <cell r="A131">
            <v>22003</v>
          </cell>
          <cell r="B131" t="str">
            <v>LAJE PRE-FABRICADA DE 12CM</v>
          </cell>
          <cell r="C131" t="str">
            <v>M2</v>
          </cell>
          <cell r="D131">
            <v>45.96</v>
          </cell>
          <cell r="E131">
            <v>0</v>
          </cell>
        </row>
        <row r="132">
          <cell r="A132">
            <v>22004</v>
          </cell>
          <cell r="B132" t="str">
            <v>LAJE PRE-FABRICADA DE 16CM</v>
          </cell>
          <cell r="C132" t="str">
            <v>M2</v>
          </cell>
          <cell r="D132">
            <v>57.08</v>
          </cell>
          <cell r="E132">
            <v>0</v>
          </cell>
        </row>
        <row r="133">
          <cell r="A133">
            <v>22502</v>
          </cell>
          <cell r="B133" t="str">
            <v>BLOCO DE CONCRETO 9 X 19 X 39CM - VEDACAO</v>
          </cell>
          <cell r="C133" t="str">
            <v>UN</v>
          </cell>
          <cell r="D133">
            <v>1.26</v>
          </cell>
          <cell r="E133">
            <v>0</v>
          </cell>
        </row>
        <row r="134">
          <cell r="A134">
            <v>22504</v>
          </cell>
          <cell r="B134" t="str">
            <v>BLOCO DE CONCRETO 14 X 19 X 39CM - VEDACAO</v>
          </cell>
          <cell r="C134" t="str">
            <v>UN</v>
          </cell>
          <cell r="D134">
            <v>1.73</v>
          </cell>
          <cell r="E134">
            <v>0</v>
          </cell>
        </row>
        <row r="135">
          <cell r="A135">
            <v>22505</v>
          </cell>
          <cell r="B135" t="str">
            <v>BLOCO DE CONCRETO 19 X 19 X 39CM - VEDACAO</v>
          </cell>
          <cell r="C135" t="str">
            <v>UN</v>
          </cell>
          <cell r="D135">
            <v>2.31</v>
          </cell>
          <cell r="E135">
            <v>0</v>
          </cell>
        </row>
        <row r="136">
          <cell r="A136">
            <v>22507</v>
          </cell>
          <cell r="B136" t="str">
            <v>BLOCO DE CONCRETO 14 X 19 X 39CM - ESTRUTURAL</v>
          </cell>
          <cell r="C136" t="str">
            <v>UN</v>
          </cell>
          <cell r="D136">
            <v>1.55</v>
          </cell>
          <cell r="E136">
            <v>0</v>
          </cell>
        </row>
        <row r="137">
          <cell r="A137">
            <v>22508</v>
          </cell>
          <cell r="B137" t="str">
            <v>BLOCO DE CONCRETO 19 X 19 X 39CM - ESTRUTURAL</v>
          </cell>
          <cell r="C137" t="str">
            <v>UN</v>
          </cell>
          <cell r="D137">
            <v>2.67</v>
          </cell>
          <cell r="E137">
            <v>0</v>
          </cell>
        </row>
        <row r="138">
          <cell r="A138">
            <v>22548</v>
          </cell>
          <cell r="B138" t="str">
            <v>BLOCO DE CONCRETO 9 X 19 X 39 CM - ESTRUTURAL</v>
          </cell>
          <cell r="C138" t="str">
            <v>UN</v>
          </cell>
          <cell r="D138">
            <v>1.34</v>
          </cell>
          <cell r="E138">
            <v>0</v>
          </cell>
        </row>
        <row r="139">
          <cell r="A139">
            <v>22561</v>
          </cell>
          <cell r="B139" t="str">
            <v>BLOCO DE VIDRO - 10X20X20CM</v>
          </cell>
          <cell r="C139" t="str">
            <v>UN</v>
          </cell>
          <cell r="D139">
            <v>15.09</v>
          </cell>
          <cell r="E139">
            <v>0</v>
          </cell>
        </row>
        <row r="140">
          <cell r="A140">
            <v>22578</v>
          </cell>
          <cell r="B140" t="str">
            <v>TIJOLO CERAMICO MACICO 5X10X20 CM</v>
          </cell>
          <cell r="C140" t="str">
            <v>UN</v>
          </cell>
          <cell r="D140">
            <v>1.03</v>
          </cell>
          <cell r="E140">
            <v>0</v>
          </cell>
        </row>
        <row r="141">
          <cell r="A141">
            <v>22585</v>
          </cell>
          <cell r="B141" t="str">
            <v>BLOCO CERÂMICO 10 FUROS 10X20X20CM-PRAÇA VITÓRIA</v>
          </cell>
          <cell r="C141" t="str">
            <v>UN</v>
          </cell>
          <cell r="D141">
            <v>0.8</v>
          </cell>
          <cell r="E141">
            <v>0</v>
          </cell>
        </row>
        <row r="142">
          <cell r="A142">
            <v>22586</v>
          </cell>
          <cell r="B142" t="str">
            <v>BLOCO CERÂMICO 10 FUROS 10X20X20CM - DA FABRICA</v>
          </cell>
          <cell r="C142" t="str">
            <v>UN</v>
          </cell>
          <cell r="D142">
            <v>0.36</v>
          </cell>
          <cell r="E142">
            <v>0</v>
          </cell>
        </row>
        <row r="143">
          <cell r="A143">
            <v>23010</v>
          </cell>
          <cell r="B143" t="str">
            <v>COBOGO DE CONCRETO TIPO RETO 20 X 20 X 10 CM</v>
          </cell>
          <cell r="C143" t="str">
            <v>UN</v>
          </cell>
          <cell r="D143">
            <v>2.2000000000000002</v>
          </cell>
          <cell r="E143">
            <v>0</v>
          </cell>
        </row>
        <row r="144">
          <cell r="A144">
            <v>23012</v>
          </cell>
          <cell r="B144" t="str">
            <v>COBOGO DE CONCRETO TIPO RETO 15 X 30 X 30 CM</v>
          </cell>
          <cell r="C144" t="str">
            <v>UN</v>
          </cell>
          <cell r="D144">
            <v>4.9800000000000004</v>
          </cell>
          <cell r="E144">
            <v>0</v>
          </cell>
        </row>
        <row r="145">
          <cell r="A145">
            <v>23015</v>
          </cell>
          <cell r="B145" t="str">
            <v>COBOGO DE CONCRETO TIPO RETO 10 X 40 X 40 CM</v>
          </cell>
          <cell r="C145" t="str">
            <v>UN</v>
          </cell>
          <cell r="D145">
            <v>5.75</v>
          </cell>
          <cell r="E145">
            <v>0</v>
          </cell>
        </row>
        <row r="146">
          <cell r="A146">
            <v>23501</v>
          </cell>
          <cell r="B146" t="str">
            <v>DIVISORIA ESP.35MM MIOLO COLMEIA MOD PAINEL/PAINEL</v>
          </cell>
          <cell r="C146" t="str">
            <v>M2</v>
          </cell>
          <cell r="D146">
            <v>72.75</v>
          </cell>
          <cell r="E146">
            <v>0</v>
          </cell>
        </row>
        <row r="147">
          <cell r="A147">
            <v>23502</v>
          </cell>
          <cell r="B147" t="str">
            <v>DIVISORIA EM MARMORE BRANCO ESP. 3CM</v>
          </cell>
          <cell r="C147" t="str">
            <v>M2</v>
          </cell>
          <cell r="D147">
            <v>205.43</v>
          </cell>
          <cell r="E147">
            <v>0</v>
          </cell>
        </row>
        <row r="148">
          <cell r="A148">
            <v>23503</v>
          </cell>
          <cell r="B148" t="str">
            <v>PORTA P/ DIVISORIA 80X210 CM, INC DOBR/FECH INTERN</v>
          </cell>
          <cell r="C148" t="str">
            <v>UN</v>
          </cell>
          <cell r="D148">
            <v>281.3</v>
          </cell>
          <cell r="E148">
            <v>0</v>
          </cell>
        </row>
        <row r="149">
          <cell r="A149">
            <v>23522</v>
          </cell>
          <cell r="B149" t="str">
            <v>DIVISORIA EM GRANITO CINZA ANDORINHA E = 3 CM</v>
          </cell>
          <cell r="C149" t="str">
            <v>M2</v>
          </cell>
          <cell r="D149">
            <v>207.17</v>
          </cell>
          <cell r="E149">
            <v>0</v>
          </cell>
        </row>
        <row r="150">
          <cell r="A150">
            <v>23577</v>
          </cell>
          <cell r="B150" t="str">
            <v>PLACA DE GRANILITE ESP. 3CM</v>
          </cell>
          <cell r="C150" t="str">
            <v>M2</v>
          </cell>
          <cell r="D150">
            <v>30.68</v>
          </cell>
          <cell r="E150">
            <v>0</v>
          </cell>
        </row>
        <row r="151">
          <cell r="A151">
            <v>24015</v>
          </cell>
          <cell r="B151" t="str">
            <v>IMPERMEABILIZANTE</v>
          </cell>
          <cell r="C151" t="str">
            <v>KG</v>
          </cell>
          <cell r="D151">
            <v>4.57</v>
          </cell>
          <cell r="E151">
            <v>0</v>
          </cell>
        </row>
        <row r="152">
          <cell r="A152">
            <v>24020</v>
          </cell>
          <cell r="B152" t="str">
            <v>SIKA TOP 107</v>
          </cell>
          <cell r="C152" t="str">
            <v>KG</v>
          </cell>
          <cell r="D152">
            <v>7.36</v>
          </cell>
          <cell r="E152">
            <v>0</v>
          </cell>
        </row>
        <row r="153">
          <cell r="A153">
            <v>24029</v>
          </cell>
          <cell r="B153" t="str">
            <v>MANTA GEOTEXTIL DE POLIESTER BIDIM RT-16</v>
          </cell>
          <cell r="C153" t="str">
            <v>M2</v>
          </cell>
          <cell r="D153">
            <v>5.18</v>
          </cell>
          <cell r="E153">
            <v>0</v>
          </cell>
        </row>
        <row r="154">
          <cell r="A154">
            <v>24033</v>
          </cell>
          <cell r="B154" t="str">
            <v>SIKA 1</v>
          </cell>
          <cell r="C154" t="str">
            <v>KG</v>
          </cell>
          <cell r="D154">
            <v>3.52</v>
          </cell>
          <cell r="E154">
            <v>0</v>
          </cell>
        </row>
        <row r="155">
          <cell r="A155">
            <v>24034</v>
          </cell>
          <cell r="B155" t="str">
            <v>IGOLFLEX</v>
          </cell>
          <cell r="C155" t="str">
            <v>KG</v>
          </cell>
          <cell r="D155">
            <v>9.4</v>
          </cell>
          <cell r="E155">
            <v>0</v>
          </cell>
        </row>
        <row r="156">
          <cell r="A156">
            <v>24035</v>
          </cell>
          <cell r="B156" t="str">
            <v>IGOL 2 DA SIKA MARCA DE REFERENCIA</v>
          </cell>
          <cell r="C156" t="str">
            <v>KG</v>
          </cell>
          <cell r="D156">
            <v>8.73</v>
          </cell>
          <cell r="E156">
            <v>0</v>
          </cell>
        </row>
        <row r="157">
          <cell r="A157">
            <v>24038</v>
          </cell>
          <cell r="B157" t="str">
            <v>SIKAFLEX 1A</v>
          </cell>
          <cell r="C157" t="str">
            <v>ML</v>
          </cell>
          <cell r="D157">
            <v>0.15</v>
          </cell>
          <cell r="E157">
            <v>0</v>
          </cell>
        </row>
        <row r="158">
          <cell r="A158">
            <v>24042</v>
          </cell>
          <cell r="B158" t="str">
            <v>SIKA TOP 108 ARMATEC (INIBIDOR DE CORROSAO)</v>
          </cell>
          <cell r="C158" t="str">
            <v>KG</v>
          </cell>
          <cell r="D158">
            <v>15.23</v>
          </cell>
          <cell r="E158">
            <v>0</v>
          </cell>
        </row>
        <row r="159">
          <cell r="A159">
            <v>24053</v>
          </cell>
          <cell r="B159" t="str">
            <v>SIKAFLEX T-68 - SELANTE BASE DE ALCATRAO E POLIUR</v>
          </cell>
          <cell r="C159" t="str">
            <v>KG</v>
          </cell>
          <cell r="D159">
            <v>47.35</v>
          </cell>
          <cell r="E159">
            <v>0</v>
          </cell>
        </row>
        <row r="160">
          <cell r="A160">
            <v>24116</v>
          </cell>
          <cell r="B160" t="str">
            <v>LONA PLASTICA PRETA 80 MICRAS</v>
          </cell>
          <cell r="C160" t="str">
            <v>M2</v>
          </cell>
          <cell r="D160">
            <v>0.68</v>
          </cell>
          <cell r="E160">
            <v>0</v>
          </cell>
        </row>
        <row r="161">
          <cell r="A161">
            <v>24130</v>
          </cell>
          <cell r="B161" t="str">
            <v>MANTA ASFÁLTICA 3MM INCL. ARG. REGULAR. E PROTECAO</v>
          </cell>
          <cell r="C161" t="str">
            <v>M2</v>
          </cell>
          <cell r="D161">
            <v>92.96</v>
          </cell>
          <cell r="E161">
            <v>0</v>
          </cell>
        </row>
        <row r="162">
          <cell r="A162">
            <v>24131</v>
          </cell>
          <cell r="B162" t="str">
            <v>MANTA ASFÁLTICA 4MM INCL. ARG. REGULAR. E PROTECAO</v>
          </cell>
          <cell r="C162" t="str">
            <v>M2</v>
          </cell>
          <cell r="D162">
            <v>106.31</v>
          </cell>
          <cell r="E162">
            <v>0</v>
          </cell>
        </row>
        <row r="163">
          <cell r="A163">
            <v>24145</v>
          </cell>
          <cell r="B163" t="str">
            <v>OXIPRIMER DA TEXSA OU EQUIVALENTE</v>
          </cell>
          <cell r="C163" t="str">
            <v>KG</v>
          </cell>
          <cell r="D163">
            <v>11.29</v>
          </cell>
          <cell r="E163">
            <v>0</v>
          </cell>
        </row>
        <row r="164">
          <cell r="A164">
            <v>24184</v>
          </cell>
          <cell r="B164" t="str">
            <v>POLIURETANO FLEXIVEL BISNAGA 360G TEL 5905</v>
          </cell>
          <cell r="C164" t="str">
            <v>UN</v>
          </cell>
          <cell r="D164">
            <v>26.4</v>
          </cell>
          <cell r="E164">
            <v>0</v>
          </cell>
        </row>
        <row r="165">
          <cell r="A165">
            <v>25113</v>
          </cell>
          <cell r="B165" t="str">
            <v>ESTRUT.MET.QUADRA POLIES PAD SEDU C/PINT LS=134,87</v>
          </cell>
          <cell r="C165" t="str">
            <v>KG</v>
          </cell>
          <cell r="D165">
            <v>15.67</v>
          </cell>
          <cell r="E165">
            <v>0</v>
          </cell>
        </row>
        <row r="166">
          <cell r="A166">
            <v>25510</v>
          </cell>
          <cell r="B166" t="str">
            <v>TELHA FIBROCIMENTO CANALETE 49</v>
          </cell>
          <cell r="C166" t="str">
            <v>M2</v>
          </cell>
          <cell r="D166">
            <v>75</v>
          </cell>
          <cell r="E166">
            <v>0</v>
          </cell>
        </row>
        <row r="167">
          <cell r="A167">
            <v>25511</v>
          </cell>
          <cell r="B167" t="str">
            <v>TELHA FIBROCIMENTO CANALETE 90</v>
          </cell>
          <cell r="C167" t="str">
            <v>M2</v>
          </cell>
          <cell r="D167">
            <v>56.41</v>
          </cell>
          <cell r="E167">
            <v>0</v>
          </cell>
        </row>
        <row r="168">
          <cell r="A168">
            <v>25513</v>
          </cell>
          <cell r="B168" t="str">
            <v>TELHA FIBROCIMENTO ONDULADA DE 6MM</v>
          </cell>
          <cell r="C168" t="str">
            <v>M2</v>
          </cell>
          <cell r="D168">
            <v>19.29</v>
          </cell>
          <cell r="E168">
            <v>0</v>
          </cell>
        </row>
        <row r="169">
          <cell r="A169">
            <v>25514</v>
          </cell>
          <cell r="B169" t="str">
            <v>TELHA FIBROCIMENTO ONDULADA DE 8MM</v>
          </cell>
          <cell r="C169" t="str">
            <v>M2</v>
          </cell>
          <cell r="D169">
            <v>27.13</v>
          </cell>
          <cell r="E169">
            <v>0</v>
          </cell>
        </row>
        <row r="170">
          <cell r="A170">
            <v>25532</v>
          </cell>
          <cell r="B170" t="str">
            <v>TELHA ALUMINIO TRAPEZOIDAL 0,5MM</v>
          </cell>
          <cell r="C170" t="str">
            <v>M2</v>
          </cell>
          <cell r="D170">
            <v>24.14</v>
          </cell>
          <cell r="E170">
            <v>0</v>
          </cell>
        </row>
        <row r="171">
          <cell r="A171">
            <v>25568</v>
          </cell>
          <cell r="B171" t="str">
            <v>TELHA CERAMICA TIPO CAPA E CANAL PLAN - NATURAL</v>
          </cell>
          <cell r="C171" t="str">
            <v>M2</v>
          </cell>
          <cell r="D171">
            <v>15.43</v>
          </cell>
          <cell r="E171">
            <v>0</v>
          </cell>
        </row>
        <row r="172">
          <cell r="A172">
            <v>25569</v>
          </cell>
          <cell r="B172" t="str">
            <v>TELHA CERAMICA TIPO CAPA E CANAL PLAN - NATURAL</v>
          </cell>
          <cell r="C172" t="str">
            <v>M2</v>
          </cell>
          <cell r="D172">
            <v>30.64</v>
          </cell>
          <cell r="E172">
            <v>0</v>
          </cell>
        </row>
        <row r="173">
          <cell r="A173">
            <v>25570</v>
          </cell>
          <cell r="B173" t="str">
            <v>CUMEEIRA CERAMICA TIPO CAPA E CANAL NAT - FABRICA</v>
          </cell>
          <cell r="C173" t="str">
            <v>UN</v>
          </cell>
          <cell r="D173">
            <v>2.06</v>
          </cell>
          <cell r="E173">
            <v>0</v>
          </cell>
        </row>
        <row r="174">
          <cell r="A174">
            <v>25571</v>
          </cell>
          <cell r="B174" t="str">
            <v>CUMEEIRA CERAMICA CAPA E CANAL NAT - PÇA VITORIA</v>
          </cell>
          <cell r="C174" t="str">
            <v>UN</v>
          </cell>
          <cell r="D174">
            <v>3.22</v>
          </cell>
          <cell r="E174">
            <v>0</v>
          </cell>
        </row>
        <row r="175">
          <cell r="A175">
            <v>25592</v>
          </cell>
          <cell r="B175" t="str">
            <v>TELHA ONDULADA DE ALUMÍNIO ESP. 0.5 MM</v>
          </cell>
          <cell r="C175" t="str">
            <v>M2</v>
          </cell>
          <cell r="D175">
            <v>24.39</v>
          </cell>
          <cell r="E175">
            <v>0</v>
          </cell>
        </row>
        <row r="176">
          <cell r="A176">
            <v>25595</v>
          </cell>
          <cell r="B176" t="str">
            <v>TELHA TIPO ONDULINE</v>
          </cell>
          <cell r="C176" t="str">
            <v>M2</v>
          </cell>
          <cell r="D176">
            <v>22.44</v>
          </cell>
          <cell r="E176">
            <v>0</v>
          </cell>
        </row>
        <row r="177">
          <cell r="A177">
            <v>25617</v>
          </cell>
          <cell r="B177" t="str">
            <v>TELHA AL/ZINCO ONDULADA (GALVALUME) ESP. 0.43MM</v>
          </cell>
          <cell r="C177" t="str">
            <v>M2</v>
          </cell>
          <cell r="D177">
            <v>20.6</v>
          </cell>
          <cell r="E177">
            <v>0</v>
          </cell>
        </row>
        <row r="178">
          <cell r="A178">
            <v>25641</v>
          </cell>
          <cell r="B178" t="str">
            <v>TELHA GALV 0.43MM TRAP 40 TERM PU 30MM PINT 2 FAC</v>
          </cell>
          <cell r="C178" t="str">
            <v>M2</v>
          </cell>
          <cell r="D178">
            <v>83.79</v>
          </cell>
          <cell r="E178">
            <v>0</v>
          </cell>
        </row>
        <row r="179">
          <cell r="A179">
            <v>25812</v>
          </cell>
          <cell r="B179" t="str">
            <v>TELHA GALV 0.43MM TRAP40 POLIU 30MM FILME PVC PINT</v>
          </cell>
          <cell r="C179" t="str">
            <v>M2</v>
          </cell>
          <cell r="D179">
            <v>72.239999999999995</v>
          </cell>
          <cell r="E179">
            <v>0</v>
          </cell>
        </row>
        <row r="180">
          <cell r="A180">
            <v>25814</v>
          </cell>
          <cell r="B180" t="str">
            <v>TELHA METALICA TRAPEZOIDAL 40 ESP. 0.50MM</v>
          </cell>
          <cell r="C180" t="str">
            <v>M2</v>
          </cell>
          <cell r="D180">
            <v>26.33</v>
          </cell>
          <cell r="E180">
            <v>0</v>
          </cell>
        </row>
        <row r="181">
          <cell r="A181">
            <v>26005</v>
          </cell>
          <cell r="B181" t="str">
            <v>CUMEEIRA FIBROCIMENTO NORMAL (CANALETE 49)</v>
          </cell>
          <cell r="C181" t="str">
            <v>M</v>
          </cell>
          <cell r="D181">
            <v>44.53</v>
          </cell>
          <cell r="E181">
            <v>0</v>
          </cell>
        </row>
        <row r="182">
          <cell r="A182">
            <v>26007</v>
          </cell>
          <cell r="B182" t="str">
            <v>CUMEEIRA FIBROCIMENTO NORMAL (CANALETE 90)</v>
          </cell>
          <cell r="C182" t="str">
            <v>M</v>
          </cell>
          <cell r="D182">
            <v>56.88</v>
          </cell>
          <cell r="E182">
            <v>0</v>
          </cell>
        </row>
        <row r="183">
          <cell r="A183">
            <v>26008</v>
          </cell>
          <cell r="B183" t="str">
            <v>RUFO EM ALUMINIO ESP. 0.5 MM LARGURA 30 CM</v>
          </cell>
          <cell r="C183" t="str">
            <v>M</v>
          </cell>
          <cell r="D183">
            <v>18.170000000000002</v>
          </cell>
          <cell r="E183">
            <v>0</v>
          </cell>
        </row>
        <row r="184">
          <cell r="A184">
            <v>26015</v>
          </cell>
          <cell r="B184" t="str">
            <v>CUMEEIRA FIBROCIMENTO NORMAL (ONDULADA)</v>
          </cell>
          <cell r="C184" t="str">
            <v>M</v>
          </cell>
          <cell r="D184">
            <v>35.32</v>
          </cell>
          <cell r="E184">
            <v>0</v>
          </cell>
        </row>
        <row r="185">
          <cell r="A185">
            <v>26040</v>
          </cell>
          <cell r="B185" t="str">
            <v>FITAS ANTI-CORROSIVAS PARA ASSENT TELHAS</v>
          </cell>
          <cell r="C185" t="str">
            <v>M</v>
          </cell>
          <cell r="D185">
            <v>1.27</v>
          </cell>
          <cell r="E185">
            <v>0</v>
          </cell>
        </row>
        <row r="186">
          <cell r="A186">
            <v>26091</v>
          </cell>
          <cell r="B186" t="str">
            <v>CANTONEIRA DE FERRO 1/8" X 1/2" X 1/2"</v>
          </cell>
          <cell r="C186" t="str">
            <v>M</v>
          </cell>
          <cell r="D186">
            <v>2.5</v>
          </cell>
          <cell r="E186">
            <v>0</v>
          </cell>
        </row>
        <row r="187">
          <cell r="A187">
            <v>26098</v>
          </cell>
          <cell r="B187" t="str">
            <v>CUMEEIRA PARA TELHA ONDULINE</v>
          </cell>
          <cell r="C187" t="str">
            <v>M</v>
          </cell>
          <cell r="D187">
            <v>25.08</v>
          </cell>
          <cell r="E187">
            <v>0</v>
          </cell>
        </row>
        <row r="188">
          <cell r="A188">
            <v>26503</v>
          </cell>
          <cell r="B188" t="str">
            <v>CONJUNTO VEDACAO ELASTICA</v>
          </cell>
          <cell r="C188" t="str">
            <v>UN</v>
          </cell>
          <cell r="D188">
            <v>0.5</v>
          </cell>
          <cell r="E188">
            <v>0</v>
          </cell>
        </row>
        <row r="189">
          <cell r="A189">
            <v>26505</v>
          </cell>
          <cell r="B189" t="str">
            <v>FIXADOR DE ABAS SIMPLES (CANALETE 49/90)</v>
          </cell>
          <cell r="C189" t="str">
            <v>UN</v>
          </cell>
          <cell r="D189">
            <v>2.69</v>
          </cell>
          <cell r="E189">
            <v>0</v>
          </cell>
        </row>
        <row r="190">
          <cell r="A190">
            <v>26506</v>
          </cell>
          <cell r="B190" t="str">
            <v>ARO EM METAL PARA BASQUETE</v>
          </cell>
          <cell r="C190" t="str">
            <v>UN</v>
          </cell>
          <cell r="D190">
            <v>143.07</v>
          </cell>
          <cell r="E190">
            <v>0</v>
          </cell>
        </row>
        <row r="191">
          <cell r="A191">
            <v>26508</v>
          </cell>
          <cell r="B191" t="str">
            <v>CANTONEIRA DE FERRO 1/8" X 3/4" X 3/4"</v>
          </cell>
          <cell r="C191" t="str">
            <v>M</v>
          </cell>
          <cell r="D191">
            <v>3.22</v>
          </cell>
          <cell r="E191">
            <v>0</v>
          </cell>
        </row>
        <row r="192">
          <cell r="A192">
            <v>26512</v>
          </cell>
          <cell r="B192" t="str">
            <v>PARAFUSO PARA MADEIRA DE 80MM</v>
          </cell>
          <cell r="C192" t="str">
            <v>UN</v>
          </cell>
          <cell r="D192">
            <v>1</v>
          </cell>
          <cell r="E192">
            <v>0</v>
          </cell>
        </row>
        <row r="193">
          <cell r="A193">
            <v>26517</v>
          </cell>
          <cell r="B193" t="str">
            <v>PARAFUSO COM ROSCA SOBERBA 8X110MM</v>
          </cell>
          <cell r="C193" t="str">
            <v>UN</v>
          </cell>
          <cell r="D193">
            <v>0.81</v>
          </cell>
          <cell r="E193">
            <v>0</v>
          </cell>
        </row>
        <row r="194">
          <cell r="A194">
            <v>26520</v>
          </cell>
          <cell r="B194" t="str">
            <v>PARAFUSO COM ROSCA SOBERBA 8X230MM</v>
          </cell>
          <cell r="C194" t="str">
            <v>UN</v>
          </cell>
          <cell r="D194">
            <v>1.52</v>
          </cell>
          <cell r="E194">
            <v>0</v>
          </cell>
        </row>
        <row r="195">
          <cell r="A195">
            <v>26521</v>
          </cell>
          <cell r="B195" t="str">
            <v>PARAFUSO COM ROSCA SOBERBA 8X250MM</v>
          </cell>
          <cell r="C195" t="str">
            <v>UN</v>
          </cell>
          <cell r="D195">
            <v>2.61</v>
          </cell>
          <cell r="E195">
            <v>0</v>
          </cell>
        </row>
        <row r="196">
          <cell r="A196">
            <v>26546</v>
          </cell>
          <cell r="B196" t="str">
            <v>PARAFUSO S-8</v>
          </cell>
          <cell r="C196" t="str">
            <v>UN</v>
          </cell>
          <cell r="D196">
            <v>0.13</v>
          </cell>
          <cell r="E196">
            <v>0</v>
          </cell>
        </row>
        <row r="197">
          <cell r="A197">
            <v>26548</v>
          </cell>
          <cell r="B197" t="str">
            <v>BUCHA PLASTICA COM PARAFUSO - 8MM</v>
          </cell>
          <cell r="C197" t="str">
            <v>UN</v>
          </cell>
          <cell r="D197">
            <v>0.2</v>
          </cell>
          <cell r="E197">
            <v>0</v>
          </cell>
        </row>
        <row r="198">
          <cell r="A198">
            <v>26549</v>
          </cell>
          <cell r="B198" t="str">
            <v>BUCHA PLASTICA 8MM</v>
          </cell>
          <cell r="C198" t="str">
            <v>UN</v>
          </cell>
          <cell r="D198">
            <v>0.08</v>
          </cell>
          <cell r="E198">
            <v>0</v>
          </cell>
        </row>
        <row r="199">
          <cell r="A199">
            <v>26550</v>
          </cell>
          <cell r="B199" t="str">
            <v>PARAFUSO CROMADO P/FIXACAO SANITARIOS</v>
          </cell>
          <cell r="C199" t="str">
            <v>UN</v>
          </cell>
          <cell r="D199">
            <v>4.3099999999999996</v>
          </cell>
          <cell r="E199">
            <v>0</v>
          </cell>
        </row>
        <row r="200">
          <cell r="A200">
            <v>26551</v>
          </cell>
          <cell r="B200" t="str">
            <v>PARAFUSO CROMADO D = 4 MM</v>
          </cell>
          <cell r="C200" t="str">
            <v>UN</v>
          </cell>
          <cell r="D200">
            <v>0.39</v>
          </cell>
          <cell r="E200">
            <v>0</v>
          </cell>
        </row>
        <row r="201">
          <cell r="A201">
            <v>26552</v>
          </cell>
          <cell r="B201" t="str">
            <v>BUCHA PLASTICA NR.7</v>
          </cell>
          <cell r="C201" t="str">
            <v>UN</v>
          </cell>
          <cell r="D201">
            <v>0.06</v>
          </cell>
          <cell r="E201">
            <v>0</v>
          </cell>
        </row>
        <row r="202">
          <cell r="A202">
            <v>26554</v>
          </cell>
          <cell r="B202" t="str">
            <v>PORCA SEXTAVADA 1/4"</v>
          </cell>
          <cell r="C202" t="str">
            <v>UN</v>
          </cell>
          <cell r="D202">
            <v>0.1</v>
          </cell>
          <cell r="E202">
            <v>0</v>
          </cell>
        </row>
        <row r="203">
          <cell r="A203">
            <v>26560</v>
          </cell>
          <cell r="B203" t="str">
            <v>PREGO - PRECO MEDIO DAS BITOLAS</v>
          </cell>
          <cell r="C203" t="str">
            <v>KG</v>
          </cell>
          <cell r="D203">
            <v>5.81</v>
          </cell>
          <cell r="E203">
            <v>0</v>
          </cell>
        </row>
        <row r="204">
          <cell r="A204">
            <v>26562</v>
          </cell>
          <cell r="B204" t="str">
            <v>PREGO 10X10</v>
          </cell>
          <cell r="C204" t="str">
            <v>KG</v>
          </cell>
          <cell r="D204">
            <v>10.220000000000001</v>
          </cell>
          <cell r="E204">
            <v>0</v>
          </cell>
        </row>
        <row r="205">
          <cell r="A205">
            <v>26563</v>
          </cell>
          <cell r="B205" t="str">
            <v>PREGO 12X12</v>
          </cell>
          <cell r="C205" t="str">
            <v>KG</v>
          </cell>
          <cell r="D205">
            <v>8.07</v>
          </cell>
          <cell r="E205">
            <v>0</v>
          </cell>
        </row>
        <row r="206">
          <cell r="A206">
            <v>26566</v>
          </cell>
          <cell r="B206" t="str">
            <v>PREGO 15X15</v>
          </cell>
          <cell r="C206" t="str">
            <v>KG</v>
          </cell>
          <cell r="D206">
            <v>6.11</v>
          </cell>
          <cell r="E206">
            <v>0</v>
          </cell>
        </row>
        <row r="207">
          <cell r="A207">
            <v>26569</v>
          </cell>
          <cell r="B207" t="str">
            <v>PREGO 18X27</v>
          </cell>
          <cell r="C207" t="str">
            <v>KG</v>
          </cell>
          <cell r="D207">
            <v>5.42</v>
          </cell>
          <cell r="E207">
            <v>0</v>
          </cell>
        </row>
        <row r="208">
          <cell r="A208">
            <v>26570</v>
          </cell>
          <cell r="B208" t="str">
            <v>PREGO 18X30</v>
          </cell>
          <cell r="C208" t="str">
            <v>KG</v>
          </cell>
          <cell r="D208">
            <v>5.42</v>
          </cell>
          <cell r="E208">
            <v>0</v>
          </cell>
        </row>
        <row r="209">
          <cell r="A209">
            <v>26577</v>
          </cell>
          <cell r="B209" t="str">
            <v>PARAFUSO COM ROSCA SOBERBA 8X165MM</v>
          </cell>
          <cell r="C209" t="str">
            <v>UN</v>
          </cell>
          <cell r="D209">
            <v>1.42</v>
          </cell>
          <cell r="E209">
            <v>0</v>
          </cell>
        </row>
        <row r="210">
          <cell r="A210">
            <v>26581</v>
          </cell>
          <cell r="B210" t="str">
            <v>GRAMPO PARA CERCA</v>
          </cell>
          <cell r="C210" t="str">
            <v>KG</v>
          </cell>
          <cell r="D210">
            <v>7.92</v>
          </cell>
          <cell r="E210">
            <v>0</v>
          </cell>
        </row>
        <row r="211">
          <cell r="A211">
            <v>26588</v>
          </cell>
          <cell r="B211" t="str">
            <v>PARAFUSO PARA BUCHA S-5</v>
          </cell>
          <cell r="C211" t="str">
            <v>UN</v>
          </cell>
          <cell r="D211">
            <v>0.06</v>
          </cell>
          <cell r="E211">
            <v>0</v>
          </cell>
        </row>
        <row r="212">
          <cell r="A212">
            <v>26589</v>
          </cell>
          <cell r="B212" t="str">
            <v>PARAFUSO PARA BUCHA PLASTICA N.7</v>
          </cell>
          <cell r="C212" t="str">
            <v>UN</v>
          </cell>
          <cell r="D212">
            <v>0.09</v>
          </cell>
          <cell r="E212">
            <v>0</v>
          </cell>
        </row>
        <row r="213">
          <cell r="A213">
            <v>26590</v>
          </cell>
          <cell r="B213" t="str">
            <v>PARAFUSO S-6</v>
          </cell>
          <cell r="C213" t="str">
            <v>UN</v>
          </cell>
          <cell r="D213">
            <v>7.0000000000000007E-2</v>
          </cell>
          <cell r="E213">
            <v>0</v>
          </cell>
        </row>
        <row r="214">
          <cell r="A214">
            <v>26591</v>
          </cell>
          <cell r="B214" t="str">
            <v>BUCHA S-5</v>
          </cell>
          <cell r="C214" t="str">
            <v>UN</v>
          </cell>
          <cell r="D214">
            <v>0.04</v>
          </cell>
          <cell r="E214">
            <v>0</v>
          </cell>
        </row>
        <row r="215">
          <cell r="A215">
            <v>26592</v>
          </cell>
          <cell r="B215" t="str">
            <v>BUCHA S8</v>
          </cell>
          <cell r="C215" t="str">
            <v>UN</v>
          </cell>
          <cell r="D215">
            <v>0.08</v>
          </cell>
          <cell r="E215">
            <v>0</v>
          </cell>
        </row>
        <row r="216">
          <cell r="A216">
            <v>26607</v>
          </cell>
          <cell r="B216" t="str">
            <v>PARAFUSO COM PORCA E ARRUELA 3/8" X 11/2"</v>
          </cell>
          <cell r="C216" t="str">
            <v>UN</v>
          </cell>
          <cell r="D216">
            <v>0.51</v>
          </cell>
          <cell r="E216">
            <v>0</v>
          </cell>
        </row>
        <row r="217">
          <cell r="A217">
            <v>26610</v>
          </cell>
          <cell r="B217" t="str">
            <v>CONJUNTO FIXACAO P/ TELHA DE ALUMINIO TRAPEZOIDAL</v>
          </cell>
          <cell r="C217" t="str">
            <v>UN</v>
          </cell>
          <cell r="D217">
            <v>0.38</v>
          </cell>
          <cell r="E217">
            <v>0</v>
          </cell>
        </row>
        <row r="218">
          <cell r="A218">
            <v>26618</v>
          </cell>
          <cell r="B218" t="str">
            <v>PARAFUSO GALV. C/PORCA E ARRUELA 16MM X 200MM</v>
          </cell>
          <cell r="C218" t="str">
            <v>UN</v>
          </cell>
          <cell r="D218">
            <v>8.0299999999999994</v>
          </cell>
          <cell r="E218">
            <v>0</v>
          </cell>
        </row>
        <row r="219">
          <cell r="A219">
            <v>26648</v>
          </cell>
          <cell r="B219" t="str">
            <v>BUCHA DE NYLON N.º8 REF.: TEL-5308</v>
          </cell>
          <cell r="C219" t="str">
            <v>UN</v>
          </cell>
          <cell r="D219">
            <v>0.1</v>
          </cell>
          <cell r="E219">
            <v>0</v>
          </cell>
        </row>
        <row r="220">
          <cell r="A220">
            <v>26664</v>
          </cell>
          <cell r="B220" t="str">
            <v>BUCHA PLÁSTICA COM PARAFUSO - 6MM</v>
          </cell>
          <cell r="C220" t="str">
            <v>UN</v>
          </cell>
          <cell r="D220">
            <v>0.13</v>
          </cell>
          <cell r="E220">
            <v>0</v>
          </cell>
        </row>
        <row r="221">
          <cell r="A221">
            <v>26665</v>
          </cell>
          <cell r="B221" t="str">
            <v>PARAF. LATÃO C/ROSCA SOBERBA 3,8X22MM-P/ DOBRADIÇA</v>
          </cell>
          <cell r="C221" t="str">
            <v>UN</v>
          </cell>
          <cell r="D221">
            <v>0.23</v>
          </cell>
          <cell r="E221">
            <v>0</v>
          </cell>
        </row>
        <row r="222">
          <cell r="A222">
            <v>26668</v>
          </cell>
          <cell r="B222" t="str">
            <v>CANTONEIRA FERRO CROMADO,PEQ. P/DIVISÓRIA GRANITO</v>
          </cell>
          <cell r="C222" t="str">
            <v>UN</v>
          </cell>
          <cell r="D222">
            <v>12.42</v>
          </cell>
          <cell r="E222">
            <v>0</v>
          </cell>
        </row>
        <row r="223">
          <cell r="A223">
            <v>26669</v>
          </cell>
          <cell r="B223" t="str">
            <v>PARAFUSO CROMADO P/DIVISÓRIA</v>
          </cell>
          <cell r="C223" t="str">
            <v>UN</v>
          </cell>
          <cell r="D223">
            <v>3.32</v>
          </cell>
          <cell r="E223">
            <v>0</v>
          </cell>
        </row>
        <row r="224">
          <cell r="A224">
            <v>26670</v>
          </cell>
          <cell r="B224" t="str">
            <v>DOBRADICA FERRO CROMADO P/PORTA DE DIVISORIA</v>
          </cell>
          <cell r="C224" t="str">
            <v>UN</v>
          </cell>
          <cell r="D224">
            <v>16.37</v>
          </cell>
          <cell r="E224">
            <v>0</v>
          </cell>
        </row>
        <row r="225">
          <cell r="A225">
            <v>26671</v>
          </cell>
          <cell r="B225" t="str">
            <v>BATENTE FERRO CROMADO P/PORTA DE DIVISORIA</v>
          </cell>
          <cell r="C225" t="str">
            <v>UN</v>
          </cell>
          <cell r="D225">
            <v>13.26</v>
          </cell>
          <cell r="E225">
            <v>0</v>
          </cell>
        </row>
        <row r="226">
          <cell r="A226">
            <v>26675</v>
          </cell>
          <cell r="B226" t="str">
            <v>PARAFUSO COM BUCHA S8</v>
          </cell>
          <cell r="C226" t="str">
            <v>UN</v>
          </cell>
          <cell r="D226">
            <v>0.17</v>
          </cell>
          <cell r="E226">
            <v>0</v>
          </cell>
        </row>
        <row r="227">
          <cell r="A227">
            <v>26678</v>
          </cell>
          <cell r="B227" t="str">
            <v>CONJUNTO P/ FIXAÇÃO TELHA ALUMINIO ONDULADA</v>
          </cell>
          <cell r="C227" t="str">
            <v>UN</v>
          </cell>
          <cell r="D227">
            <v>0.37</v>
          </cell>
          <cell r="E227">
            <v>0</v>
          </cell>
        </row>
        <row r="228">
          <cell r="A228">
            <v>26714</v>
          </cell>
          <cell r="B228" t="str">
            <v>PARAFUSO DE MAQ FERRO GALVANIZADO D= 16 X 100MM</v>
          </cell>
          <cell r="C228" t="str">
            <v>UN</v>
          </cell>
          <cell r="D228">
            <v>2.65</v>
          </cell>
          <cell r="E228">
            <v>0</v>
          </cell>
        </row>
        <row r="229">
          <cell r="A229">
            <v>26877</v>
          </cell>
          <cell r="B229" t="str">
            <v>PARAFUSO AUTOATARRACHANTE DIM 4.2X32MM REF TEL5333</v>
          </cell>
          <cell r="C229" t="str">
            <v>UN</v>
          </cell>
          <cell r="D229">
            <v>0.2</v>
          </cell>
          <cell r="E229">
            <v>0</v>
          </cell>
        </row>
        <row r="230">
          <cell r="A230">
            <v>26879</v>
          </cell>
          <cell r="B230" t="str">
            <v>ARRUELA LISA AÇO INOX 1/4" REF. TEL-5303</v>
          </cell>
          <cell r="C230" t="str">
            <v>UN</v>
          </cell>
          <cell r="D230">
            <v>0.16</v>
          </cell>
          <cell r="E230">
            <v>0</v>
          </cell>
        </row>
        <row r="231">
          <cell r="A231">
            <v>26894</v>
          </cell>
          <cell r="B231" t="str">
            <v>BUCHA DE NYLON N.º6 REF.: TEL-5306</v>
          </cell>
          <cell r="C231" t="str">
            <v>UN</v>
          </cell>
          <cell r="D231">
            <v>0.1</v>
          </cell>
          <cell r="E231">
            <v>0</v>
          </cell>
        </row>
        <row r="232">
          <cell r="A232">
            <v>26972</v>
          </cell>
          <cell r="B232" t="str">
            <v>CONJ PARAFUSO, PORCA E ARRUELA LATAO 1/2 X 2"</v>
          </cell>
          <cell r="C232" t="str">
            <v>UN</v>
          </cell>
          <cell r="D232">
            <v>12.34</v>
          </cell>
          <cell r="E232">
            <v>0</v>
          </cell>
        </row>
        <row r="233">
          <cell r="A233">
            <v>27002</v>
          </cell>
          <cell r="B233" t="str">
            <v>ARAME GALVANIZADO N.10 BWG</v>
          </cell>
          <cell r="C233" t="str">
            <v>KG</v>
          </cell>
          <cell r="D233">
            <v>5.62</v>
          </cell>
          <cell r="E233">
            <v>0</v>
          </cell>
        </row>
        <row r="234">
          <cell r="A234">
            <v>27003</v>
          </cell>
          <cell r="B234" t="str">
            <v>ARAME GALVANIZADO N.12 BWG</v>
          </cell>
          <cell r="C234" t="str">
            <v>KG</v>
          </cell>
          <cell r="D234">
            <v>6.12</v>
          </cell>
          <cell r="E234">
            <v>0</v>
          </cell>
        </row>
        <row r="235">
          <cell r="A235">
            <v>27004</v>
          </cell>
          <cell r="B235" t="str">
            <v>ARAME GALVANIZADO N.14 BWG</v>
          </cell>
          <cell r="C235" t="str">
            <v>KG</v>
          </cell>
          <cell r="D235">
            <v>6.27</v>
          </cell>
          <cell r="E235">
            <v>0</v>
          </cell>
        </row>
        <row r="236">
          <cell r="A236">
            <v>27005</v>
          </cell>
          <cell r="B236" t="str">
            <v>ARAME GALVANIZADO N.16 BWG</v>
          </cell>
          <cell r="C236" t="str">
            <v>KG</v>
          </cell>
          <cell r="D236">
            <v>6.84</v>
          </cell>
          <cell r="E236">
            <v>0</v>
          </cell>
        </row>
        <row r="237">
          <cell r="A237">
            <v>27006</v>
          </cell>
          <cell r="B237" t="str">
            <v>ARAME GALVANIZADO N.18 BWG</v>
          </cell>
          <cell r="C237" t="str">
            <v>KG</v>
          </cell>
          <cell r="D237">
            <v>8.08</v>
          </cell>
          <cell r="E237">
            <v>0</v>
          </cell>
        </row>
        <row r="238">
          <cell r="A238">
            <v>27010</v>
          </cell>
          <cell r="B238" t="str">
            <v>ARAME RECOZIDO N.18 BWG</v>
          </cell>
          <cell r="C238" t="str">
            <v>KG</v>
          </cell>
          <cell r="D238">
            <v>5.98</v>
          </cell>
          <cell r="E238">
            <v>0</v>
          </cell>
        </row>
        <row r="239">
          <cell r="A239">
            <v>27012</v>
          </cell>
          <cell r="B239" t="str">
            <v>ARAME GALVANIZADO N.12 BWG</v>
          </cell>
          <cell r="C239" t="str">
            <v>M</v>
          </cell>
          <cell r="D239">
            <v>0.4</v>
          </cell>
          <cell r="E239">
            <v>0</v>
          </cell>
        </row>
        <row r="240">
          <cell r="A240">
            <v>27020</v>
          </cell>
          <cell r="B240" t="str">
            <v>ARAME GALVANIZADO N.14 AWG</v>
          </cell>
          <cell r="C240" t="str">
            <v>M</v>
          </cell>
          <cell r="D240">
            <v>0.22</v>
          </cell>
          <cell r="E240">
            <v>0</v>
          </cell>
        </row>
        <row r="241">
          <cell r="A241">
            <v>27022</v>
          </cell>
          <cell r="B241" t="str">
            <v>ARAME FARPADO GALVANIZAD FIO 16BWG</v>
          </cell>
          <cell r="C241" t="str">
            <v>M</v>
          </cell>
          <cell r="D241">
            <v>0.43</v>
          </cell>
          <cell r="E241">
            <v>0</v>
          </cell>
        </row>
        <row r="242">
          <cell r="A242">
            <v>27504</v>
          </cell>
          <cell r="B242" t="str">
            <v>MOURAO CONCRETO CURVO SECAO "T" H=3,20M</v>
          </cell>
          <cell r="C242" t="str">
            <v>UN</v>
          </cell>
          <cell r="D242">
            <v>43.58</v>
          </cell>
          <cell r="E242">
            <v>0</v>
          </cell>
        </row>
        <row r="243">
          <cell r="A243">
            <v>27519</v>
          </cell>
          <cell r="B243" t="str">
            <v>ALAMBRADO C/TELA FIO12,#3",TUBO FG 1 1/2", PRONTO</v>
          </cell>
          <cell r="C243" t="str">
            <v>M2</v>
          </cell>
          <cell r="D243">
            <v>106.22</v>
          </cell>
          <cell r="E243">
            <v>0</v>
          </cell>
        </row>
        <row r="244">
          <cell r="A244">
            <v>27520</v>
          </cell>
          <cell r="B244" t="str">
            <v>TELA ARAME GALVANIZADA FIO 16, MALHA LOSANGULAR 2"</v>
          </cell>
          <cell r="C244" t="str">
            <v>M2</v>
          </cell>
          <cell r="D244">
            <v>8.41</v>
          </cell>
          <cell r="E244">
            <v>0</v>
          </cell>
        </row>
        <row r="245">
          <cell r="A245">
            <v>27527</v>
          </cell>
          <cell r="B245" t="str">
            <v>ALAMB. TUBO FG VERT 2" HOR 1" TELA FIO12#1" INC PO</v>
          </cell>
          <cell r="C245" t="str">
            <v>M2</v>
          </cell>
          <cell r="D245">
            <v>125.06</v>
          </cell>
          <cell r="E245">
            <v>0</v>
          </cell>
        </row>
        <row r="246">
          <cell r="A246">
            <v>27532</v>
          </cell>
          <cell r="B246" t="str">
            <v>TELA DE ARAME GALVANIZADO DE 1" FIO N.10 BWG</v>
          </cell>
          <cell r="C246" t="str">
            <v>M2</v>
          </cell>
          <cell r="D246">
            <v>50.51</v>
          </cell>
          <cell r="E246">
            <v>0</v>
          </cell>
        </row>
        <row r="247">
          <cell r="A247">
            <v>27540</v>
          </cell>
          <cell r="B247" t="str">
            <v>TELA MOSQUITEIRO ARAME GALV. INCL. REQUADRO EM L</v>
          </cell>
          <cell r="C247" t="str">
            <v>M2</v>
          </cell>
          <cell r="D247">
            <v>48.32</v>
          </cell>
          <cell r="E247">
            <v>0</v>
          </cell>
        </row>
        <row r="248">
          <cell r="A248">
            <v>27546</v>
          </cell>
          <cell r="B248" t="str">
            <v>TELA ARAME GALV NR.12 MALHA 2" REVESTIDO EM PVC</v>
          </cell>
          <cell r="C248" t="str">
            <v>M2</v>
          </cell>
          <cell r="D248">
            <v>25.26</v>
          </cell>
          <cell r="E248">
            <v>0</v>
          </cell>
        </row>
        <row r="249">
          <cell r="A249">
            <v>27554</v>
          </cell>
          <cell r="B249" t="str">
            <v>PORTÃO EM TUBO F.G.2 1/2" E 1",
INCLUSIVE TELA DE ALMBRADO FIO 12
# 2", E ACESSÓRIOS DE FIXAÇÃO.</v>
          </cell>
          <cell r="C249" t="str">
            <v>M2</v>
          </cell>
          <cell r="D249">
            <v>82.45</v>
          </cell>
          <cell r="E249">
            <v>0</v>
          </cell>
        </row>
        <row r="250">
          <cell r="A250">
            <v>27677</v>
          </cell>
          <cell r="B250" t="str">
            <v>TELA MOSQUITEIRO EM NYLON MALHA 14 ABERTURA 1,5MM</v>
          </cell>
          <cell r="C250" t="str">
            <v>M2</v>
          </cell>
          <cell r="D250">
            <v>4.3899999999999997</v>
          </cell>
          <cell r="E250">
            <v>0</v>
          </cell>
        </row>
        <row r="251">
          <cell r="A251">
            <v>28001</v>
          </cell>
          <cell r="B251" t="str">
            <v>BOMBEAMENTO DE CONCRETO</v>
          </cell>
          <cell r="C251" t="str">
            <v>M3</v>
          </cell>
          <cell r="D251">
            <v>22.63</v>
          </cell>
          <cell r="E251">
            <v>0</v>
          </cell>
        </row>
        <row r="252">
          <cell r="A252">
            <v>28004</v>
          </cell>
          <cell r="B252" t="str">
            <v>TABULEIRO MARMORE BRANCO E GRANITO PRETO 40X40CM</v>
          </cell>
          <cell r="C252" t="str">
            <v>UN</v>
          </cell>
          <cell r="D252">
            <v>62.58</v>
          </cell>
          <cell r="E252">
            <v>0</v>
          </cell>
        </row>
        <row r="253">
          <cell r="A253">
            <v>28005</v>
          </cell>
          <cell r="B253" t="str">
            <v>COLA ESPECIAL "PVA"</v>
          </cell>
          <cell r="C253" t="str">
            <v>KG</v>
          </cell>
          <cell r="D253">
            <v>15.28</v>
          </cell>
          <cell r="E253">
            <v>0</v>
          </cell>
        </row>
        <row r="254">
          <cell r="A254">
            <v>28008</v>
          </cell>
          <cell r="B254" t="str">
            <v>DESMOLDANTE PARA FORMAS</v>
          </cell>
          <cell r="C254" t="str">
            <v>L</v>
          </cell>
          <cell r="D254">
            <v>8.1999999999999993</v>
          </cell>
          <cell r="E254">
            <v>0</v>
          </cell>
        </row>
        <row r="255">
          <cell r="A255">
            <v>28010</v>
          </cell>
          <cell r="B255" t="str">
            <v>MASSA DE VEDACAO</v>
          </cell>
          <cell r="C255" t="str">
            <v>KG</v>
          </cell>
          <cell r="D255">
            <v>19.5</v>
          </cell>
          <cell r="E255">
            <v>0</v>
          </cell>
        </row>
        <row r="256">
          <cell r="A256">
            <v>28027</v>
          </cell>
          <cell r="B256" t="str">
            <v>BARRA DE APOIO DE F.G. D=11/4" L=80CM (HIST)</v>
          </cell>
          <cell r="C256" t="str">
            <v>UN</v>
          </cell>
          <cell r="D256">
            <v>104.17</v>
          </cell>
          <cell r="E256">
            <v>0</v>
          </cell>
        </row>
        <row r="257">
          <cell r="A257">
            <v>28028</v>
          </cell>
          <cell r="B257" t="str">
            <v>MOLDURA CANTONEIRA ALUMINIO PERFIL L 3/4"X3/4X1/8"</v>
          </cell>
          <cell r="C257" t="str">
            <v>M</v>
          </cell>
          <cell r="D257">
            <v>4.9800000000000004</v>
          </cell>
          <cell r="E257">
            <v>0</v>
          </cell>
        </row>
        <row r="258">
          <cell r="A258">
            <v>28030</v>
          </cell>
          <cell r="B258" t="str">
            <v>EXPLOSIVO GELATINOSO DINAMITE 40% (8" X 1")</v>
          </cell>
          <cell r="C258" t="str">
            <v>KG</v>
          </cell>
          <cell r="D258">
            <v>6.4</v>
          </cell>
          <cell r="E258">
            <v>0</v>
          </cell>
        </row>
        <row r="259">
          <cell r="A259">
            <v>28031</v>
          </cell>
          <cell r="B259" t="str">
            <v>ESPOLETA SIMPLES</v>
          </cell>
          <cell r="C259" t="str">
            <v>UN</v>
          </cell>
          <cell r="D259">
            <v>1.46</v>
          </cell>
          <cell r="E259">
            <v>0</v>
          </cell>
        </row>
        <row r="260">
          <cell r="A260">
            <v>28032</v>
          </cell>
          <cell r="B260" t="str">
            <v>ESTOPIM DUPLO</v>
          </cell>
          <cell r="C260" t="str">
            <v>M</v>
          </cell>
          <cell r="D260">
            <v>2.69</v>
          </cell>
          <cell r="E260">
            <v>0</v>
          </cell>
        </row>
        <row r="261">
          <cell r="A261">
            <v>28056</v>
          </cell>
          <cell r="B261" t="str">
            <v>JUNTA PLASTICA DE 17 X 3 MM</v>
          </cell>
          <cell r="C261" t="str">
            <v>M</v>
          </cell>
          <cell r="D261">
            <v>0.86</v>
          </cell>
          <cell r="E261">
            <v>0</v>
          </cell>
        </row>
        <row r="262">
          <cell r="A262">
            <v>28067</v>
          </cell>
          <cell r="B262" t="str">
            <v>CABO ACO GALV. SM 6X7-AF 6,4MM (1/4")</v>
          </cell>
          <cell r="C262" t="str">
            <v>M</v>
          </cell>
          <cell r="D262">
            <v>2.84</v>
          </cell>
          <cell r="E262">
            <v>0</v>
          </cell>
        </row>
        <row r="263">
          <cell r="A263">
            <v>28086</v>
          </cell>
          <cell r="B263" t="str">
            <v>CORDA DE NYLON 3/16" - 25M/KG</v>
          </cell>
          <cell r="C263" t="str">
            <v>M</v>
          </cell>
          <cell r="D263">
            <v>0.67</v>
          </cell>
          <cell r="E263">
            <v>0</v>
          </cell>
        </row>
        <row r="264">
          <cell r="A264">
            <v>28088</v>
          </cell>
          <cell r="B264" t="str">
            <v>COLA PARA FORMICA</v>
          </cell>
          <cell r="C264" t="str">
            <v>L</v>
          </cell>
          <cell r="D264">
            <v>17.8</v>
          </cell>
          <cell r="E264">
            <v>0</v>
          </cell>
        </row>
        <row r="265">
          <cell r="A265">
            <v>28270</v>
          </cell>
          <cell r="B265" t="str">
            <v>FILETE EM ISOPOR 2X1CM</v>
          </cell>
          <cell r="C265" t="str">
            <v>M</v>
          </cell>
          <cell r="D265">
            <v>0.09</v>
          </cell>
          <cell r="E265">
            <v>0</v>
          </cell>
        </row>
        <row r="266">
          <cell r="A266">
            <v>29028</v>
          </cell>
          <cell r="B266" t="str">
            <v>CILINDRO DE GAS DE COZINHA 45 KG</v>
          </cell>
          <cell r="C266" t="str">
            <v>UN</v>
          </cell>
          <cell r="D266">
            <v>487.43</v>
          </cell>
          <cell r="E266">
            <v>0</v>
          </cell>
        </row>
        <row r="267">
          <cell r="A267">
            <v>29050</v>
          </cell>
          <cell r="B267" t="str">
            <v>DUREPOX (250G)</v>
          </cell>
          <cell r="C267" t="str">
            <v>UN</v>
          </cell>
          <cell r="D267">
            <v>11.73</v>
          </cell>
          <cell r="E267">
            <v>0</v>
          </cell>
        </row>
        <row r="268">
          <cell r="A268">
            <v>29093</v>
          </cell>
          <cell r="B268" t="str">
            <v>PARAF. INOX SEXT. M6X45MM, BUCHA N.8, ARRUELA 1/4"</v>
          </cell>
          <cell r="C268" t="str">
            <v>UN</v>
          </cell>
          <cell r="D268">
            <v>1.1100000000000001</v>
          </cell>
          <cell r="E268">
            <v>0</v>
          </cell>
        </row>
        <row r="269">
          <cell r="A269">
            <v>29094</v>
          </cell>
          <cell r="B269" t="str">
            <v>FIXADOR UNIV SPDA ESTANH TEL-5024 P/CABO 16 A 70MM</v>
          </cell>
          <cell r="C269" t="str">
            <v>UN</v>
          </cell>
          <cell r="D269">
            <v>9.4700000000000006</v>
          </cell>
          <cell r="E269">
            <v>0</v>
          </cell>
        </row>
        <row r="270">
          <cell r="A270">
            <v>29322</v>
          </cell>
          <cell r="B270" t="str">
            <v>EXPLOSIVO GELATINOSO DINAMITE 2" A 60%</v>
          </cell>
          <cell r="C270" t="str">
            <v>KG</v>
          </cell>
          <cell r="D270">
            <v>5.82</v>
          </cell>
          <cell r="E270">
            <v>0</v>
          </cell>
        </row>
        <row r="271">
          <cell r="A271">
            <v>30106</v>
          </cell>
          <cell r="B271" t="str">
            <v>ALIZAR / GUARNICAO EM MAD DE LEI 5.0 X 1.5 CM</v>
          </cell>
          <cell r="C271" t="str">
            <v>M</v>
          </cell>
          <cell r="D271">
            <v>5.29</v>
          </cell>
          <cell r="E271">
            <v>0</v>
          </cell>
        </row>
        <row r="272">
          <cell r="A272">
            <v>30152</v>
          </cell>
          <cell r="B272" t="str">
            <v>PORTA MADEIRA DE LEI ESP.30MM P/PINTURA 0.80X1.80M</v>
          </cell>
          <cell r="C272" t="str">
            <v>UN</v>
          </cell>
          <cell r="D272">
            <v>133.82</v>
          </cell>
          <cell r="E272">
            <v>0</v>
          </cell>
        </row>
        <row r="273">
          <cell r="A273">
            <v>30172</v>
          </cell>
          <cell r="B273" t="str">
            <v>MARCO MAD LEI 15X3CM BAT 0.90X2.10M ANGELIM PEDRA</v>
          </cell>
          <cell r="C273" t="str">
            <v>UN</v>
          </cell>
          <cell r="D273">
            <v>101.85</v>
          </cell>
          <cell r="E273">
            <v>0</v>
          </cell>
        </row>
        <row r="274">
          <cell r="A274">
            <v>30173</v>
          </cell>
          <cell r="B274" t="str">
            <v>MARCO MAD LEI 15X3CM BAT 0.60X2.10M ANGELIM PEDRA</v>
          </cell>
          <cell r="C274" t="str">
            <v>UN</v>
          </cell>
          <cell r="D274">
            <v>101.85</v>
          </cell>
          <cell r="E274">
            <v>0</v>
          </cell>
        </row>
        <row r="275">
          <cell r="A275">
            <v>30174</v>
          </cell>
          <cell r="B275" t="str">
            <v>MARCO MAD LEI 15X3CM BAT 0.70X2.10M ANGELIM PEDRA</v>
          </cell>
          <cell r="C275" t="str">
            <v>UN</v>
          </cell>
          <cell r="D275">
            <v>101.85</v>
          </cell>
          <cell r="E275">
            <v>0</v>
          </cell>
        </row>
        <row r="276">
          <cell r="A276">
            <v>30175</v>
          </cell>
          <cell r="B276" t="str">
            <v>MARCO MAD LEI 15X3CM BAT 0.80X2.10M ANGELIM PEDRA</v>
          </cell>
          <cell r="C276" t="str">
            <v>UN</v>
          </cell>
          <cell r="D276">
            <v>101.85</v>
          </cell>
          <cell r="E276">
            <v>0</v>
          </cell>
        </row>
        <row r="277">
          <cell r="A277">
            <v>30177</v>
          </cell>
          <cell r="B277" t="str">
            <v>MARCO EM MADEIRA DE LEI 7X3 CM DE BATENTE</v>
          </cell>
          <cell r="C277" t="str">
            <v>M</v>
          </cell>
          <cell r="D277">
            <v>16.98</v>
          </cell>
          <cell r="E277">
            <v>0</v>
          </cell>
        </row>
        <row r="278">
          <cell r="A278">
            <v>30191</v>
          </cell>
          <cell r="B278" t="str">
            <v>MARCO EM MADEIRA DE LEI 15 X 3 CM</v>
          </cell>
          <cell r="C278" t="str">
            <v>M</v>
          </cell>
          <cell r="D278">
            <v>19.239999999999998</v>
          </cell>
          <cell r="E278">
            <v>0</v>
          </cell>
        </row>
        <row r="279">
          <cell r="A279">
            <v>30202</v>
          </cell>
          <cell r="B279" t="str">
            <v>PORTA LISA EM COMPENSADO ESP.35MM,0.7X2.1M P/PINT.</v>
          </cell>
          <cell r="C279" t="str">
            <v>UN</v>
          </cell>
          <cell r="D279">
            <v>97.95</v>
          </cell>
          <cell r="E279">
            <v>0</v>
          </cell>
        </row>
        <row r="280">
          <cell r="A280">
            <v>30210</v>
          </cell>
          <cell r="B280" t="str">
            <v>PORTA MADEIRA DE LEI ESP 30 MM 0.6X2.1M P/ PINTURA</v>
          </cell>
          <cell r="C280" t="str">
            <v>UN</v>
          </cell>
          <cell r="D280">
            <v>128.99</v>
          </cell>
          <cell r="E280">
            <v>0</v>
          </cell>
        </row>
        <row r="281">
          <cell r="A281">
            <v>30211</v>
          </cell>
          <cell r="B281" t="str">
            <v>PORTA MADEIRA DE LEI ESP 30 MM 0.7X2.1M P/ PINTURA</v>
          </cell>
          <cell r="C281" t="str">
            <v>UN</v>
          </cell>
          <cell r="D281">
            <v>131.9</v>
          </cell>
          <cell r="E281">
            <v>0</v>
          </cell>
        </row>
        <row r="282">
          <cell r="A282">
            <v>30212</v>
          </cell>
          <cell r="B282" t="str">
            <v>PORTA MADEIRA DE LEI ESP 30 MM 0.8X2.1M P/ PINTURA</v>
          </cell>
          <cell r="C282" t="str">
            <v>UN</v>
          </cell>
          <cell r="D282">
            <v>162.46</v>
          </cell>
          <cell r="E282">
            <v>0</v>
          </cell>
        </row>
        <row r="283">
          <cell r="A283">
            <v>30213</v>
          </cell>
          <cell r="B283" t="str">
            <v>PORTA MADEIRA DE LEI ESP 30 MM 0.9X2.1M P/ PINTURA</v>
          </cell>
          <cell r="C283" t="str">
            <v>UN</v>
          </cell>
          <cell r="D283">
            <v>215.56</v>
          </cell>
          <cell r="E283">
            <v>0</v>
          </cell>
        </row>
        <row r="284">
          <cell r="A284">
            <v>30217</v>
          </cell>
          <cell r="B284" t="str">
            <v>PORTA EM MADEIRA DE LEI P/ PINTURA 0.60X1.80M</v>
          </cell>
          <cell r="C284" t="str">
            <v>UN</v>
          </cell>
          <cell r="D284">
            <v>133.82</v>
          </cell>
          <cell r="E284">
            <v>0</v>
          </cell>
        </row>
        <row r="285">
          <cell r="A285">
            <v>30233</v>
          </cell>
          <cell r="B285" t="str">
            <v>PORTA MADEIRA DE LEI P/ PINTURA 0.80 X 1.60 M</v>
          </cell>
          <cell r="C285" t="str">
            <v>UN</v>
          </cell>
          <cell r="D285">
            <v>133.82</v>
          </cell>
          <cell r="E285">
            <v>0</v>
          </cell>
        </row>
        <row r="286">
          <cell r="A286">
            <v>30257</v>
          </cell>
          <cell r="B286" t="str">
            <v>PORTA DE VENEZIANA EM MADEIRA DE LEI, 0.7 X 2.1 M</v>
          </cell>
          <cell r="C286" t="str">
            <v>UN</v>
          </cell>
          <cell r="D286">
            <v>399.41</v>
          </cell>
          <cell r="E286">
            <v>0</v>
          </cell>
        </row>
        <row r="287">
          <cell r="A287">
            <v>30261</v>
          </cell>
          <cell r="B287" t="str">
            <v>PORTA DE VENEZIANA EM MADEIRA DE LEI, 0.60X2.10 M</v>
          </cell>
          <cell r="C287" t="str">
            <v>UN</v>
          </cell>
          <cell r="D287">
            <v>360.37</v>
          </cell>
          <cell r="E287">
            <v>0</v>
          </cell>
        </row>
        <row r="288">
          <cell r="A288">
            <v>30263</v>
          </cell>
          <cell r="B288" t="str">
            <v>PORTA DE VENEZIANA EM MADEIRA DE LEI, 0.80X2.10 M</v>
          </cell>
          <cell r="C288" t="str">
            <v>UN</v>
          </cell>
          <cell r="D288">
            <v>433.98</v>
          </cell>
          <cell r="E288">
            <v>0</v>
          </cell>
        </row>
        <row r="289">
          <cell r="A289">
            <v>30315</v>
          </cell>
          <cell r="B289" t="str">
            <v>PORTA ALMOFADADA MADEIRA DE LEI 0.6X2.1M</v>
          </cell>
          <cell r="C289" t="str">
            <v>UN</v>
          </cell>
          <cell r="D289">
            <v>375.56</v>
          </cell>
          <cell r="E289">
            <v>0</v>
          </cell>
        </row>
        <row r="290">
          <cell r="A290">
            <v>30316</v>
          </cell>
          <cell r="B290" t="str">
            <v>PORTA ALMOFADADA EM MADEIRA DE LEI 0.7X2.1M</v>
          </cell>
          <cell r="C290" t="str">
            <v>UN</v>
          </cell>
          <cell r="D290">
            <v>429.77</v>
          </cell>
          <cell r="E290">
            <v>0</v>
          </cell>
        </row>
        <row r="291">
          <cell r="A291">
            <v>30317</v>
          </cell>
          <cell r="B291" t="str">
            <v>PORTA ALMOFADADA EM MADEIRA DE LEI 0.8X2.10M</v>
          </cell>
          <cell r="C291" t="str">
            <v>UN</v>
          </cell>
          <cell r="D291">
            <v>469.03</v>
          </cell>
          <cell r="E291">
            <v>0</v>
          </cell>
        </row>
        <row r="292">
          <cell r="A292">
            <v>30358</v>
          </cell>
          <cell r="B292" t="str">
            <v>ALIZAR / GUARNICAO EM MAD DE LEI 7X1.5CM</v>
          </cell>
          <cell r="C292" t="str">
            <v>M</v>
          </cell>
          <cell r="D292">
            <v>8.2799999999999994</v>
          </cell>
          <cell r="E292">
            <v>0</v>
          </cell>
        </row>
        <row r="293">
          <cell r="A293">
            <v>30460</v>
          </cell>
          <cell r="B293" t="str">
            <v>PORTA MADEIRA DE LEI ESP 30MM-P/ PINTURA-0.60X1.60</v>
          </cell>
          <cell r="C293" t="str">
            <v>UN</v>
          </cell>
          <cell r="D293">
            <v>133.82</v>
          </cell>
          <cell r="E293">
            <v>0</v>
          </cell>
        </row>
        <row r="294">
          <cell r="A294">
            <v>30496</v>
          </cell>
          <cell r="B294" t="str">
            <v>ALIZAR / GUARNICAO EM MAD DE LEI 5X2.5CM</v>
          </cell>
          <cell r="C294" t="str">
            <v>M</v>
          </cell>
          <cell r="D294">
            <v>7.83</v>
          </cell>
          <cell r="E294">
            <v>0</v>
          </cell>
        </row>
        <row r="295">
          <cell r="A295">
            <v>30574</v>
          </cell>
          <cell r="B295" t="str">
            <v>PORTA ALMOFADADA MADEIRA LEI 0.90X2.10M</v>
          </cell>
          <cell r="C295" t="str">
            <v>UN</v>
          </cell>
          <cell r="D295">
            <v>589.80999999999995</v>
          </cell>
          <cell r="E295">
            <v>0</v>
          </cell>
        </row>
        <row r="296">
          <cell r="A296">
            <v>30665</v>
          </cell>
          <cell r="B296" t="str">
            <v>CAIXILHO MAD LEI 9X3CM P/ JANELA - ANGELIM PEDRA</v>
          </cell>
          <cell r="C296" t="str">
            <v>M</v>
          </cell>
          <cell r="D296">
            <v>17.48</v>
          </cell>
          <cell r="E296">
            <v>0</v>
          </cell>
        </row>
        <row r="297">
          <cell r="A297">
            <v>30675</v>
          </cell>
          <cell r="B297" t="str">
            <v>PORTA MAD LEI 30MM 0.70X2.10M C/VISOR 0.40X0.60M</v>
          </cell>
          <cell r="C297" t="str">
            <v>UN</v>
          </cell>
          <cell r="D297">
            <v>237.17</v>
          </cell>
          <cell r="E297">
            <v>0</v>
          </cell>
        </row>
        <row r="298">
          <cell r="A298">
            <v>30676</v>
          </cell>
          <cell r="B298" t="str">
            <v>PORTA MAD LEI 30MM 0.80X2.10M C/ VISOR 0.40X0.60M</v>
          </cell>
          <cell r="C298" t="str">
            <v>UN</v>
          </cell>
          <cell r="D298">
            <v>248.08</v>
          </cell>
          <cell r="E298">
            <v>0</v>
          </cell>
        </row>
        <row r="299">
          <cell r="A299">
            <v>30677</v>
          </cell>
          <cell r="B299" t="str">
            <v>PORTA MAD LEI 30MM 0.90X2.10M C/ VISOR 0.40X0.60M</v>
          </cell>
          <cell r="C299" t="str">
            <v>UN</v>
          </cell>
          <cell r="D299">
            <v>303.61</v>
          </cell>
          <cell r="E299">
            <v>0</v>
          </cell>
        </row>
        <row r="300">
          <cell r="A300">
            <v>30706</v>
          </cell>
          <cell r="B300" t="str">
            <v>PORTA DE AÇO DE ENROLAR</v>
          </cell>
          <cell r="C300" t="str">
            <v>M2</v>
          </cell>
          <cell r="D300">
            <v>301.11</v>
          </cell>
          <cell r="E300">
            <v>0</v>
          </cell>
        </row>
        <row r="301">
          <cell r="A301">
            <v>30868</v>
          </cell>
          <cell r="B301" t="str">
            <v>PORTA ABRIR VENEZIANA LINHA 25 ALUM ANOD NATURAL</v>
          </cell>
          <cell r="C301" t="str">
            <v>M2</v>
          </cell>
          <cell r="D301">
            <v>433.15</v>
          </cell>
          <cell r="E301">
            <v>0</v>
          </cell>
        </row>
        <row r="302">
          <cell r="A302">
            <v>30951</v>
          </cell>
          <cell r="B302" t="str">
            <v>JANELA MAXIM-AR LINHA 25 ALUMINIO ANOD. NATURAL</v>
          </cell>
          <cell r="C302" t="str">
            <v>M2</v>
          </cell>
          <cell r="D302">
            <v>202.59</v>
          </cell>
          <cell r="E302">
            <v>0</v>
          </cell>
        </row>
        <row r="303">
          <cell r="A303">
            <v>31055</v>
          </cell>
          <cell r="B303" t="str">
            <v>PORTA DE FERRO DE SEG.,BARRA CHATA, 0.80X2.10 M</v>
          </cell>
          <cell r="C303" t="str">
            <v>UN</v>
          </cell>
          <cell r="D303">
            <v>360.73</v>
          </cell>
          <cell r="E303">
            <v>0</v>
          </cell>
        </row>
        <row r="304">
          <cell r="A304">
            <v>31056</v>
          </cell>
          <cell r="B304" t="str">
            <v>PORTA DE FERRO DE SEG., BARRA CHATA, 0.60X2.10 M</v>
          </cell>
          <cell r="C304" t="str">
            <v>UN</v>
          </cell>
          <cell r="D304">
            <v>319.94</v>
          </cell>
          <cell r="E304">
            <v>0</v>
          </cell>
        </row>
        <row r="305">
          <cell r="A305">
            <v>31057</v>
          </cell>
          <cell r="B305" t="str">
            <v>GRADE EXT. C/BARRA CHATA,CANT.,PADRAO PMV 1.5X1.5M</v>
          </cell>
          <cell r="C305" t="str">
            <v>UN</v>
          </cell>
          <cell r="D305">
            <v>289.33999999999997</v>
          </cell>
          <cell r="E305">
            <v>0</v>
          </cell>
        </row>
        <row r="306">
          <cell r="A306">
            <v>31177</v>
          </cell>
          <cell r="B306" t="str">
            <v>PORTÃO DE FERRO DE ABRIR, EM BARRA CHATA (KG / M2)</v>
          </cell>
          <cell r="C306" t="str">
            <v>KM</v>
          </cell>
          <cell r="D306">
            <v>8.39</v>
          </cell>
          <cell r="E306">
            <v>0</v>
          </cell>
        </row>
        <row r="307">
          <cell r="A307">
            <v>31178</v>
          </cell>
          <cell r="B307" t="str">
            <v>GRADE DE FERRO EM BARRA CHATA (KG / M2)</v>
          </cell>
          <cell r="C307" t="str">
            <v>KM</v>
          </cell>
          <cell r="D307">
            <v>7.54</v>
          </cell>
          <cell r="E307">
            <v>0</v>
          </cell>
        </row>
        <row r="308">
          <cell r="A308">
            <v>31186</v>
          </cell>
          <cell r="B308" t="str">
            <v>PORTÃO DE FERRO DE CORRER EM BARRA CHATA (KG/M2)</v>
          </cell>
          <cell r="C308" t="str">
            <v>KM</v>
          </cell>
          <cell r="D308">
            <v>7.8</v>
          </cell>
          <cell r="E308">
            <v>0</v>
          </cell>
        </row>
        <row r="309">
          <cell r="A309">
            <v>31187</v>
          </cell>
          <cell r="B309" t="str">
            <v>PORTÃO DE ABRIR EM BARRA CHATA,CHAPA E TUBO(KG/M2)</v>
          </cell>
          <cell r="C309" t="str">
            <v>KM</v>
          </cell>
          <cell r="D309">
            <v>8.89</v>
          </cell>
          <cell r="E309">
            <v>0</v>
          </cell>
        </row>
        <row r="310">
          <cell r="A310">
            <v>31250</v>
          </cell>
          <cell r="B310" t="str">
            <v>PORTA CHAPA GALV. Nº14 C/TELA QUEBRA CHAMA (C.GAS)</v>
          </cell>
          <cell r="C310" t="str">
            <v>M2</v>
          </cell>
          <cell r="D310">
            <v>166.31</v>
          </cell>
          <cell r="E310">
            <v>0</v>
          </cell>
        </row>
        <row r="311">
          <cell r="A311">
            <v>31443</v>
          </cell>
          <cell r="B311" t="str">
            <v>JANELA DE CORRER LINHA 25 ALUMINIO ANOD. NATURAL</v>
          </cell>
          <cell r="C311" t="str">
            <v>M2</v>
          </cell>
          <cell r="D311">
            <v>252.91</v>
          </cell>
          <cell r="E311">
            <v>0</v>
          </cell>
        </row>
        <row r="312">
          <cell r="A312">
            <v>31507</v>
          </cell>
          <cell r="B312" t="str">
            <v>FECHADURA COMPLETA PARA PORTA INTERNA</v>
          </cell>
          <cell r="C312" t="str">
            <v>UN</v>
          </cell>
          <cell r="D312">
            <v>98.52</v>
          </cell>
          <cell r="E312">
            <v>0</v>
          </cell>
        </row>
        <row r="313">
          <cell r="A313">
            <v>31508</v>
          </cell>
          <cell r="B313" t="str">
            <v>FECHADURA COMPLETA PARA PORTA EXTERNA</v>
          </cell>
          <cell r="C313" t="str">
            <v>UN</v>
          </cell>
          <cell r="D313">
            <v>114.63</v>
          </cell>
          <cell r="E313">
            <v>0</v>
          </cell>
        </row>
        <row r="314">
          <cell r="A314">
            <v>31511</v>
          </cell>
          <cell r="B314" t="str">
            <v>TARGETA FIO REDONDO 3"</v>
          </cell>
          <cell r="C314" t="str">
            <v>UN</v>
          </cell>
          <cell r="D314">
            <v>4.51</v>
          </cell>
          <cell r="E314">
            <v>0</v>
          </cell>
        </row>
        <row r="315">
          <cell r="A315">
            <v>31516</v>
          </cell>
          <cell r="B315" t="str">
            <v>TARGETA FIO REDONDO 2"</v>
          </cell>
          <cell r="C315" t="str">
            <v>UN</v>
          </cell>
          <cell r="D315">
            <v>3.85</v>
          </cell>
          <cell r="E315">
            <v>0</v>
          </cell>
        </row>
        <row r="316">
          <cell r="A316">
            <v>31517</v>
          </cell>
          <cell r="B316" t="str">
            <v>FECHADURA ALAVANCA E CHAVE YALE</v>
          </cell>
          <cell r="C316" t="str">
            <v>UN</v>
          </cell>
          <cell r="D316">
            <v>39.79</v>
          </cell>
          <cell r="E316">
            <v>0</v>
          </cell>
        </row>
        <row r="317">
          <cell r="A317">
            <v>31518</v>
          </cell>
          <cell r="B317" t="str">
            <v>FECHADURA DE SEGURANCA ALIANCA MARCA REFERENCIA</v>
          </cell>
          <cell r="C317" t="str">
            <v>UN</v>
          </cell>
          <cell r="D317">
            <v>39.22</v>
          </cell>
          <cell r="E317">
            <v>0</v>
          </cell>
        </row>
        <row r="318">
          <cell r="A318">
            <v>31519</v>
          </cell>
          <cell r="B318" t="str">
            <v>CADEADO 40MM</v>
          </cell>
          <cell r="C318" t="str">
            <v>UN</v>
          </cell>
          <cell r="D318">
            <v>18.420000000000002</v>
          </cell>
          <cell r="E318">
            <v>0</v>
          </cell>
        </row>
        <row r="319">
          <cell r="A319">
            <v>31526</v>
          </cell>
          <cell r="B319" t="str">
            <v>TRILHO EM ALUMINIO PARA JANELA DE CORRER</v>
          </cell>
          <cell r="C319" t="str">
            <v>M</v>
          </cell>
          <cell r="D319">
            <v>3.69</v>
          </cell>
          <cell r="E319">
            <v>0</v>
          </cell>
        </row>
        <row r="320">
          <cell r="A320">
            <v>31527</v>
          </cell>
          <cell r="B320" t="str">
            <v>RODIZIOS PARA TRILHO DE JANELA DE CORRER</v>
          </cell>
          <cell r="C320" t="str">
            <v>UN</v>
          </cell>
          <cell r="D320">
            <v>3.25</v>
          </cell>
          <cell r="E320">
            <v>0</v>
          </cell>
        </row>
        <row r="321">
          <cell r="A321">
            <v>31548</v>
          </cell>
          <cell r="B321" t="str">
            <v>CADEADO 30 MM</v>
          </cell>
          <cell r="C321" t="str">
            <v>UN</v>
          </cell>
          <cell r="D321">
            <v>12.69</v>
          </cell>
          <cell r="E321">
            <v>0</v>
          </cell>
        </row>
        <row r="322">
          <cell r="A322">
            <v>31570</v>
          </cell>
          <cell r="B322" t="str">
            <v>PORTA CADEADO PARA CADEADO DE 30MM</v>
          </cell>
          <cell r="C322" t="str">
            <v>UN</v>
          </cell>
          <cell r="D322">
            <v>4.6399999999999997</v>
          </cell>
          <cell r="E322">
            <v>0</v>
          </cell>
        </row>
        <row r="323">
          <cell r="A323">
            <v>31571</v>
          </cell>
          <cell r="B323" t="str">
            <v>PORTA CADEADO PARA CADEADO DE 40MM</v>
          </cell>
          <cell r="C323" t="str">
            <v>UN</v>
          </cell>
          <cell r="D323">
            <v>5.54</v>
          </cell>
          <cell r="E323">
            <v>0</v>
          </cell>
        </row>
        <row r="324">
          <cell r="A324">
            <v>31581</v>
          </cell>
          <cell r="B324" t="str">
            <v>FECHADURA TIPO "LIVRE-OCUPADO"</v>
          </cell>
          <cell r="C324" t="str">
            <v>UN</v>
          </cell>
          <cell r="D324">
            <v>32.65</v>
          </cell>
          <cell r="E324">
            <v>0</v>
          </cell>
        </row>
        <row r="325">
          <cell r="A325">
            <v>31584</v>
          </cell>
          <cell r="B325" t="str">
            <v>DOBRADICA DE FERRO ZINCADO DE 3" X 2 1/2"</v>
          </cell>
          <cell r="C325" t="str">
            <v>UN</v>
          </cell>
          <cell r="D325">
            <v>4.01</v>
          </cell>
          <cell r="E325">
            <v>0</v>
          </cell>
        </row>
        <row r="326">
          <cell r="A326">
            <v>31585</v>
          </cell>
          <cell r="B326" t="str">
            <v>DOBRADICAS EM FERRO ZINCADO DE 3" X 3 1/2"</v>
          </cell>
          <cell r="C326" t="str">
            <v>UN</v>
          </cell>
          <cell r="D326">
            <v>5.83</v>
          </cell>
          <cell r="E326">
            <v>0</v>
          </cell>
        </row>
        <row r="327">
          <cell r="A327">
            <v>31591</v>
          </cell>
          <cell r="B327" t="str">
            <v>CADEADO 50MM</v>
          </cell>
          <cell r="C327" t="str">
            <v>UN</v>
          </cell>
          <cell r="D327">
            <v>26.2</v>
          </cell>
          <cell r="E327">
            <v>0</v>
          </cell>
        </row>
        <row r="328">
          <cell r="A328">
            <v>31599</v>
          </cell>
          <cell r="B328" t="str">
            <v>PUNHO CROMADO P/ JANELA CORRER, ALIANÇA MARCA REF.</v>
          </cell>
          <cell r="C328" t="str">
            <v>CJ</v>
          </cell>
          <cell r="D328">
            <v>26.7</v>
          </cell>
          <cell r="E328">
            <v>0</v>
          </cell>
        </row>
        <row r="329">
          <cell r="A329">
            <v>31601</v>
          </cell>
          <cell r="B329" t="str">
            <v>DOBRADICA EM LATAO CROMADO 3 X 2 1/2" C/ PARAFUSO</v>
          </cell>
          <cell r="C329" t="str">
            <v>UN</v>
          </cell>
          <cell r="D329">
            <v>11.08</v>
          </cell>
          <cell r="E329">
            <v>0</v>
          </cell>
        </row>
        <row r="330">
          <cell r="A330">
            <v>31647</v>
          </cell>
          <cell r="B330" t="str">
            <v>TRINCO CHATO EM AÇO CROMADO DE EMBUTIR 20CM</v>
          </cell>
          <cell r="C330" t="str">
            <v>UN</v>
          </cell>
          <cell r="D330">
            <v>25.09</v>
          </cell>
          <cell r="E330">
            <v>0</v>
          </cell>
        </row>
        <row r="331">
          <cell r="A331">
            <v>31733</v>
          </cell>
          <cell r="B331" t="str">
            <v>BASCULA LINHA 25 ALUMINIO ANOD NATURAL</v>
          </cell>
          <cell r="C331" t="str">
            <v>M2</v>
          </cell>
          <cell r="D331">
            <v>264.33</v>
          </cell>
          <cell r="E331">
            <v>0</v>
          </cell>
        </row>
        <row r="332">
          <cell r="A332">
            <v>31780</v>
          </cell>
          <cell r="B332" t="str">
            <v>PROTEÇÃO PARA CAIXA DE DESCARGA - PADRÃO DERTES</v>
          </cell>
          <cell r="C332" t="str">
            <v>UN</v>
          </cell>
          <cell r="D332">
            <v>68.41</v>
          </cell>
          <cell r="E332">
            <v>0</v>
          </cell>
        </row>
        <row r="333">
          <cell r="A333">
            <v>31811</v>
          </cell>
          <cell r="B333" t="str">
            <v>FECHADURA COM MAÇANETA TIPO BOLA E CHAVE YALE</v>
          </cell>
          <cell r="C333" t="str">
            <v>UN</v>
          </cell>
          <cell r="D333">
            <v>66.650000000000006</v>
          </cell>
          <cell r="E333">
            <v>0</v>
          </cell>
        </row>
        <row r="334">
          <cell r="A334">
            <v>31812</v>
          </cell>
          <cell r="B334" t="str">
            <v>FECHADURA DE SOBREPOR TIPO CAIXAO E CHAVE COMUM</v>
          </cell>
          <cell r="C334" t="str">
            <v>UN</v>
          </cell>
          <cell r="D334">
            <v>42.89</v>
          </cell>
          <cell r="E334">
            <v>0</v>
          </cell>
        </row>
        <row r="335">
          <cell r="A335">
            <v>31813</v>
          </cell>
          <cell r="B335" t="str">
            <v>FECH COM MAÇANETA TIPO ALAVANCA E CHAVE TIPO COMUM</v>
          </cell>
          <cell r="C335" t="str">
            <v>UN</v>
          </cell>
          <cell r="D335">
            <v>36.47</v>
          </cell>
          <cell r="E335">
            <v>0</v>
          </cell>
        </row>
        <row r="336">
          <cell r="A336">
            <v>31815</v>
          </cell>
          <cell r="B336" t="str">
            <v>DOBRADICAS EM FERRO ZINCADO DE 2 " X 2"</v>
          </cell>
          <cell r="C336" t="str">
            <v>UN</v>
          </cell>
          <cell r="D336">
            <v>2.57</v>
          </cell>
          <cell r="E336">
            <v>0</v>
          </cell>
        </row>
        <row r="337">
          <cell r="A337">
            <v>31816</v>
          </cell>
          <cell r="B337" t="str">
            <v>FECHADURA SOBREPOR DE FERRO, C/CHAVE PARA ARMARIO</v>
          </cell>
          <cell r="C337" t="str">
            <v>UN</v>
          </cell>
          <cell r="D337">
            <v>16.93</v>
          </cell>
          <cell r="E337">
            <v>0</v>
          </cell>
        </row>
        <row r="338">
          <cell r="A338">
            <v>31921</v>
          </cell>
          <cell r="B338" t="str">
            <v>PORTA CADEADO PARA CADEADO 50MM</v>
          </cell>
          <cell r="C338" t="str">
            <v>UN</v>
          </cell>
          <cell r="D338">
            <v>12.48</v>
          </cell>
          <cell r="E338">
            <v>0</v>
          </cell>
        </row>
        <row r="339">
          <cell r="A339">
            <v>31922</v>
          </cell>
          <cell r="B339" t="str">
            <v>CREMONA COM VARA DE FERRO DE 1,50M</v>
          </cell>
          <cell r="C339" t="str">
            <v>UN</v>
          </cell>
          <cell r="D339">
            <v>40.08</v>
          </cell>
          <cell r="E339">
            <v>0</v>
          </cell>
        </row>
        <row r="340">
          <cell r="A340">
            <v>31928</v>
          </cell>
          <cell r="B340" t="str">
            <v>TELA PROT. 1/2" FIO 12, QUADRO TUBO FG 11/2"</v>
          </cell>
          <cell r="C340" t="str">
            <v>M2</v>
          </cell>
          <cell r="D340">
            <v>239.77</v>
          </cell>
          <cell r="E340">
            <v>0</v>
          </cell>
        </row>
        <row r="341">
          <cell r="A341">
            <v>32001</v>
          </cell>
          <cell r="B341" t="str">
            <v>AZULEJO BRANCO 15X15CM</v>
          </cell>
          <cell r="C341" t="str">
            <v>M2</v>
          </cell>
          <cell r="D341">
            <v>18.62</v>
          </cell>
          <cell r="E341">
            <v>0</v>
          </cell>
        </row>
        <row r="342">
          <cell r="A342">
            <v>32147</v>
          </cell>
          <cell r="B342" t="str">
            <v>CERAMICA 10X10 CM COR BRANCA OU AREIA</v>
          </cell>
          <cell r="C342" t="str">
            <v>M2</v>
          </cell>
          <cell r="D342">
            <v>31.13</v>
          </cell>
          <cell r="E342">
            <v>0</v>
          </cell>
        </row>
        <row r="343">
          <cell r="A343">
            <v>32219</v>
          </cell>
          <cell r="B343" t="str">
            <v>PASTILHA CERÂMICA 5X5CM COR BRANCA</v>
          </cell>
          <cell r="C343" t="str">
            <v>M2</v>
          </cell>
          <cell r="D343">
            <v>55.8</v>
          </cell>
          <cell r="E343">
            <v>0</v>
          </cell>
        </row>
        <row r="344">
          <cell r="A344">
            <v>32223</v>
          </cell>
          <cell r="B344" t="str">
            <v>CERAMICA 10X10CM REF. CAMBURI BRANCO</v>
          </cell>
          <cell r="C344" t="str">
            <v>M2</v>
          </cell>
          <cell r="D344">
            <v>29.58</v>
          </cell>
          <cell r="E344">
            <v>0</v>
          </cell>
        </row>
        <row r="345">
          <cell r="A345">
            <v>32502</v>
          </cell>
          <cell r="B345" t="str">
            <v>MARMORE BRANCO P/BANCADA ESP. 3 CM</v>
          </cell>
          <cell r="C345" t="str">
            <v>M2</v>
          </cell>
          <cell r="D345">
            <v>197.76</v>
          </cell>
          <cell r="E345">
            <v>0</v>
          </cell>
        </row>
        <row r="346">
          <cell r="A346">
            <v>32505</v>
          </cell>
          <cell r="B346" t="str">
            <v>GRANITO CINZA ANDORINHA POLIDO ESP. 2CM P/ BANCAD</v>
          </cell>
          <cell r="C346" t="str">
            <v>M2</v>
          </cell>
          <cell r="D346">
            <v>162.19999999999999</v>
          </cell>
          <cell r="E346">
            <v>0</v>
          </cell>
        </row>
        <row r="347">
          <cell r="A347">
            <v>32596</v>
          </cell>
          <cell r="B347" t="str">
            <v>GRANITO CINZA ANDORINHA ESP 2CM</v>
          </cell>
          <cell r="C347" t="str">
            <v>M2</v>
          </cell>
          <cell r="D347">
            <v>121.74</v>
          </cell>
          <cell r="E347">
            <v>0</v>
          </cell>
        </row>
        <row r="348">
          <cell r="A348">
            <v>33023</v>
          </cell>
          <cell r="B348" t="str">
            <v>CHAPA LISA DE FIBROCIMENTO ESP.10MM</v>
          </cell>
          <cell r="C348" t="str">
            <v>M2</v>
          </cell>
          <cell r="D348">
            <v>46.49</v>
          </cell>
          <cell r="E348">
            <v>0</v>
          </cell>
        </row>
        <row r="349">
          <cell r="A349">
            <v>33503</v>
          </cell>
          <cell r="B349" t="str">
            <v>CANTONEIRA DE ALUMINIO SEXTAVADA P/ ACABAMENTO</v>
          </cell>
          <cell r="C349" t="str">
            <v>M</v>
          </cell>
          <cell r="D349">
            <v>3.01</v>
          </cell>
          <cell r="E349">
            <v>0</v>
          </cell>
        </row>
        <row r="350">
          <cell r="A350">
            <v>33506</v>
          </cell>
          <cell r="B350" t="str">
            <v>MOLDURA EM MADEIRA DE LEI DE 7.0 X 2.5 CM</v>
          </cell>
          <cell r="C350" t="str">
            <v>M</v>
          </cell>
          <cell r="D350">
            <v>55.69</v>
          </cell>
          <cell r="E350">
            <v>0</v>
          </cell>
        </row>
        <row r="351">
          <cell r="A351">
            <v>33511</v>
          </cell>
          <cell r="B351" t="str">
            <v>PEITORIL GRANITO CINZA ANDORINHA LARG.15CM,ESP.3CM</v>
          </cell>
          <cell r="C351" t="str">
            <v>M</v>
          </cell>
          <cell r="D351">
            <v>30.45</v>
          </cell>
          <cell r="E351">
            <v>0</v>
          </cell>
        </row>
        <row r="352">
          <cell r="A352">
            <v>33513</v>
          </cell>
          <cell r="B352" t="str">
            <v>PORTA GIZ DIM. 6 X 3 CM</v>
          </cell>
          <cell r="C352" t="str">
            <v>M</v>
          </cell>
          <cell r="D352">
            <v>47.29</v>
          </cell>
          <cell r="E352">
            <v>0</v>
          </cell>
        </row>
        <row r="353">
          <cell r="A353">
            <v>33518</v>
          </cell>
          <cell r="B353" t="str">
            <v>PEITORIL MARMORE BRANCO, LARG. 40 CM</v>
          </cell>
          <cell r="C353" t="str">
            <v>M</v>
          </cell>
          <cell r="D353">
            <v>55.07</v>
          </cell>
          <cell r="E353">
            <v>0</v>
          </cell>
        </row>
        <row r="354">
          <cell r="A354">
            <v>33556</v>
          </cell>
          <cell r="B354" t="str">
            <v>PERFIL "U" EM ALUMÍNIO ANOD. NATURAL 1/2X1/2/1/16"</v>
          </cell>
          <cell r="C354" t="str">
            <v>M</v>
          </cell>
          <cell r="D354">
            <v>2.67</v>
          </cell>
          <cell r="E354">
            <v>0</v>
          </cell>
        </row>
        <row r="355">
          <cell r="A355">
            <v>33599</v>
          </cell>
          <cell r="B355" t="str">
            <v>RODAPAREDE GRAN CINZA AND 7X2CM ACAB 2 LADOS</v>
          </cell>
          <cell r="C355" t="str">
            <v>M</v>
          </cell>
          <cell r="D355">
            <v>13.92</v>
          </cell>
          <cell r="E355">
            <v>0</v>
          </cell>
        </row>
        <row r="356">
          <cell r="A356">
            <v>34005</v>
          </cell>
          <cell r="B356" t="str">
            <v>FORRO DE GESSO COLOCADO, ACABAMENTO TIPO LISO</v>
          </cell>
          <cell r="C356" t="str">
            <v>M2</v>
          </cell>
          <cell r="D356">
            <v>24.98</v>
          </cell>
          <cell r="E356">
            <v>0</v>
          </cell>
        </row>
        <row r="357">
          <cell r="A357">
            <v>34006</v>
          </cell>
          <cell r="B357" t="str">
            <v>FORRO DE GESSO COLOCADO, ACABAMENTO TIPO BISOTADO</v>
          </cell>
          <cell r="C357" t="str">
            <v>M2</v>
          </cell>
          <cell r="D357">
            <v>27.16</v>
          </cell>
          <cell r="E357">
            <v>0</v>
          </cell>
        </row>
        <row r="358">
          <cell r="A358">
            <v>34114</v>
          </cell>
          <cell r="B358" t="str">
            <v>FORRO PVC FRISADO L= 20CM ESP.10MM, COLOCADO</v>
          </cell>
          <cell r="C358" t="str">
            <v>M2</v>
          </cell>
          <cell r="D358">
            <v>39.75</v>
          </cell>
          <cell r="E358">
            <v>0</v>
          </cell>
        </row>
        <row r="359">
          <cell r="A359">
            <v>34544</v>
          </cell>
          <cell r="B359" t="str">
            <v>XADREZ (PO CORANTE TIPO XADREZ MARCA DE REF.)</v>
          </cell>
          <cell r="C359" t="str">
            <v>KG</v>
          </cell>
          <cell r="D359">
            <v>20.92</v>
          </cell>
          <cell r="E359">
            <v>0</v>
          </cell>
        </row>
        <row r="360">
          <cell r="A360">
            <v>34656</v>
          </cell>
          <cell r="B360" t="str">
            <v>LADRILHO HIDRAULICO RANHURADO 20X20CM ,VERMELHO</v>
          </cell>
          <cell r="C360" t="str">
            <v>M2</v>
          </cell>
          <cell r="D360">
            <v>32.909999999999997</v>
          </cell>
          <cell r="E360">
            <v>0</v>
          </cell>
        </row>
        <row r="361">
          <cell r="A361">
            <v>34661</v>
          </cell>
          <cell r="B361" t="str">
            <v>PISO CERAMICO 45X45CM PEI5 CARGO PLUS GRAY ELIANE</v>
          </cell>
          <cell r="C361" t="str">
            <v>M2</v>
          </cell>
          <cell r="D361">
            <v>27.81</v>
          </cell>
          <cell r="E361">
            <v>0</v>
          </cell>
        </row>
        <row r="362">
          <cell r="A362">
            <v>34666</v>
          </cell>
          <cell r="B362" t="str">
            <v>LADRILHO HIDRÁULICO PASTILHADO VERMELHO 20X20CM</v>
          </cell>
          <cell r="C362" t="str">
            <v>M2</v>
          </cell>
          <cell r="D362">
            <v>32.909999999999997</v>
          </cell>
          <cell r="E362">
            <v>0</v>
          </cell>
        </row>
        <row r="363">
          <cell r="A363">
            <v>34787</v>
          </cell>
          <cell r="B363" t="str">
            <v>PISO CERAMICO 45X45 CM CARGO PLUS WHITE ELIANE</v>
          </cell>
          <cell r="C363" t="str">
            <v>M2</v>
          </cell>
          <cell r="D363">
            <v>28.62</v>
          </cell>
          <cell r="E363">
            <v>0</v>
          </cell>
        </row>
        <row r="364">
          <cell r="A364">
            <v>35011</v>
          </cell>
          <cell r="B364" t="str">
            <v>PEDRA PORTUGUESA PARA PAVIMENTACAO</v>
          </cell>
          <cell r="C364" t="str">
            <v>M2</v>
          </cell>
          <cell r="D364">
            <v>33.53</v>
          </cell>
          <cell r="E364">
            <v>0</v>
          </cell>
        </row>
        <row r="365">
          <cell r="A365">
            <v>35114</v>
          </cell>
          <cell r="B365" t="str">
            <v>JUNTA DE DILATACAO PLASTICA</v>
          </cell>
          <cell r="C365" t="str">
            <v>M</v>
          </cell>
          <cell r="D365">
            <v>0.85</v>
          </cell>
          <cell r="E365">
            <v>0</v>
          </cell>
        </row>
        <row r="366">
          <cell r="A366">
            <v>35144</v>
          </cell>
          <cell r="B366" t="str">
            <v>PORCELANATO POLIDO PANNA PLUS PO 50X50CM</v>
          </cell>
          <cell r="C366" t="str">
            <v>M2</v>
          </cell>
          <cell r="D366">
            <v>61.84</v>
          </cell>
          <cell r="E366">
            <v>0</v>
          </cell>
        </row>
        <row r="367">
          <cell r="A367">
            <v>35145</v>
          </cell>
          <cell r="B367" t="str">
            <v>PORCELANATO POL ACET 60X60CM CIMENTO CINZA BOLD</v>
          </cell>
          <cell r="C367" t="str">
            <v>M2</v>
          </cell>
          <cell r="D367">
            <v>59.8</v>
          </cell>
          <cell r="E367">
            <v>0</v>
          </cell>
        </row>
        <row r="368">
          <cell r="A368">
            <v>35146</v>
          </cell>
          <cell r="B368" t="str">
            <v>PORCELANTO NATURAL ACETINADO 50X50CM PLATINA NA</v>
          </cell>
          <cell r="C368" t="str">
            <v>M2</v>
          </cell>
          <cell r="D368">
            <v>65.37</v>
          </cell>
          <cell r="E368">
            <v>0</v>
          </cell>
        </row>
        <row r="369">
          <cell r="A369">
            <v>35504</v>
          </cell>
          <cell r="B369" t="str">
            <v>AGREGADO DE ALTA RESISTENCIA PARA PISOS</v>
          </cell>
          <cell r="C369" t="str">
            <v>KG</v>
          </cell>
          <cell r="D369">
            <v>0.49</v>
          </cell>
          <cell r="E369">
            <v>0</v>
          </cell>
        </row>
        <row r="370">
          <cell r="A370">
            <v>35571</v>
          </cell>
          <cell r="B370" t="str">
            <v>PISO VIN PAVIFLEX CHROMA CONCEPT 30X30CM - ESP.2MM</v>
          </cell>
          <cell r="C370" t="str">
            <v>M2</v>
          </cell>
          <cell r="D370">
            <v>78.91</v>
          </cell>
          <cell r="E370">
            <v>0</v>
          </cell>
        </row>
        <row r="371">
          <cell r="A371">
            <v>35579</v>
          </cell>
          <cell r="B371" t="str">
            <v>TABUA DE MADEIRA DE LEI P/ PISO LARG. 15 CM ESP 2CM</v>
          </cell>
          <cell r="C371" t="str">
            <v>M2</v>
          </cell>
          <cell r="D371">
            <v>99.07</v>
          </cell>
          <cell r="E371">
            <v>0</v>
          </cell>
        </row>
        <row r="372">
          <cell r="A372">
            <v>35625</v>
          </cell>
          <cell r="B372" t="str">
            <v>PISO EMBORRAC PASTILHADO COR PRETA PLURIGOMA/EQUIV</v>
          </cell>
          <cell r="C372" t="str">
            <v>M2</v>
          </cell>
          <cell r="D372">
            <v>62.02</v>
          </cell>
          <cell r="E372">
            <v>0</v>
          </cell>
        </row>
        <row r="373">
          <cell r="A373">
            <v>36002</v>
          </cell>
          <cell r="B373" t="str">
            <v>RODAPE DE PEROBA DE 1.5X7CM</v>
          </cell>
          <cell r="C373" t="str">
            <v>M</v>
          </cell>
          <cell r="D373">
            <v>8.4600000000000009</v>
          </cell>
          <cell r="E373">
            <v>0</v>
          </cell>
        </row>
        <row r="374">
          <cell r="A374">
            <v>36010</v>
          </cell>
          <cell r="B374" t="str">
            <v>SOLEIRA GRANITO CINZA ANDORINHA ESP = 3CM, L= 3CM</v>
          </cell>
          <cell r="C374" t="str">
            <v>M</v>
          </cell>
          <cell r="D374">
            <v>6.86</v>
          </cell>
          <cell r="E374">
            <v>0</v>
          </cell>
        </row>
        <row r="375">
          <cell r="A375">
            <v>36012</v>
          </cell>
          <cell r="B375" t="str">
            <v>JUNTA PLASTICA "I" 27MM PARA PISOS</v>
          </cell>
          <cell r="C375" t="str">
            <v>M</v>
          </cell>
          <cell r="D375">
            <v>1.33</v>
          </cell>
          <cell r="E375">
            <v>0</v>
          </cell>
        </row>
        <row r="376">
          <cell r="A376">
            <v>36016</v>
          </cell>
          <cell r="B376" t="str">
            <v>SOLEIRA MARMORE BRANCO ESP=2CM, 15CM</v>
          </cell>
          <cell r="C376" t="str">
            <v>M</v>
          </cell>
          <cell r="D376">
            <v>21.6</v>
          </cell>
          <cell r="E376">
            <v>0</v>
          </cell>
        </row>
        <row r="377">
          <cell r="A377">
            <v>36018</v>
          </cell>
          <cell r="B377" t="str">
            <v>RODA-PAREDE EM MADEIRA DE LEI DE 10.0 X 2.5 CM</v>
          </cell>
          <cell r="C377" t="str">
            <v>M</v>
          </cell>
          <cell r="D377">
            <v>12.77</v>
          </cell>
          <cell r="E377">
            <v>0</v>
          </cell>
        </row>
        <row r="378">
          <cell r="A378">
            <v>36034</v>
          </cell>
          <cell r="B378" t="str">
            <v>SOLEIRA GRANITO CINZA ANDORINHA ESP=2CM,L=15CM</v>
          </cell>
          <cell r="C378" t="str">
            <v>M</v>
          </cell>
          <cell r="D378">
            <v>24.49</v>
          </cell>
          <cell r="E378">
            <v>0</v>
          </cell>
        </row>
        <row r="379">
          <cell r="A379">
            <v>36044</v>
          </cell>
          <cell r="B379" t="str">
            <v>RODA-PAREDE EM MADEIRA DE LEI 20.0 X 1.5 CM</v>
          </cell>
          <cell r="C379" t="str">
            <v>M</v>
          </cell>
          <cell r="D379">
            <v>20.77</v>
          </cell>
          <cell r="E379">
            <v>0</v>
          </cell>
        </row>
        <row r="380">
          <cell r="A380">
            <v>36091</v>
          </cell>
          <cell r="B380" t="str">
            <v>RODAPE GRANITO CINZA ANDORINHA ESP. 2CM H=7CM</v>
          </cell>
          <cell r="C380" t="str">
            <v>M</v>
          </cell>
          <cell r="D380">
            <v>13.12</v>
          </cell>
          <cell r="E380">
            <v>0</v>
          </cell>
        </row>
        <row r="381">
          <cell r="A381">
            <v>36221</v>
          </cell>
          <cell r="B381" t="str">
            <v>RODAPE MARMORE BRANCO H=7CM</v>
          </cell>
          <cell r="C381" t="str">
            <v>M</v>
          </cell>
          <cell r="D381">
            <v>12.93</v>
          </cell>
          <cell r="E381">
            <v>0</v>
          </cell>
        </row>
        <row r="382">
          <cell r="A382">
            <v>36383</v>
          </cell>
          <cell r="B382" t="str">
            <v>PISO CERAMICO 44X44CM PEI5 IMOLA BIANCOGRES</v>
          </cell>
          <cell r="C382" t="str">
            <v>M2</v>
          </cell>
          <cell r="D382">
            <v>22.83</v>
          </cell>
          <cell r="E382">
            <v>0</v>
          </cell>
        </row>
        <row r="383">
          <cell r="A383">
            <v>36504</v>
          </cell>
          <cell r="B383" t="str">
            <v>BLOCO DE CONCRETO ARTICULADO HEXAGONAL 8CM</v>
          </cell>
          <cell r="C383" t="str">
            <v>UN</v>
          </cell>
          <cell r="D383">
            <v>2.31</v>
          </cell>
          <cell r="E383">
            <v>0</v>
          </cell>
        </row>
        <row r="384">
          <cell r="A384">
            <v>36506</v>
          </cell>
          <cell r="B384" t="str">
            <v>MEIO FIO CONCRETO PRE-MOLD. 12X15X30CM PADRAO PMV</v>
          </cell>
          <cell r="C384" t="str">
            <v>M</v>
          </cell>
          <cell r="D384">
            <v>15.92</v>
          </cell>
          <cell r="E384">
            <v>0</v>
          </cell>
        </row>
        <row r="385">
          <cell r="A385">
            <v>36510</v>
          </cell>
          <cell r="B385" t="str">
            <v>BLOCO CONCRETO HEXAGONAL ESP. 6CM (16UN/M2)</v>
          </cell>
          <cell r="C385" t="str">
            <v>UN</v>
          </cell>
          <cell r="D385">
            <v>2</v>
          </cell>
          <cell r="E385">
            <v>0</v>
          </cell>
        </row>
        <row r="386">
          <cell r="A386">
            <v>36512</v>
          </cell>
          <cell r="B386" t="str">
            <v>BLOCO CONCRETO TIPO PAVI-S ESP.8CM,35MPA(48UND/M2)</v>
          </cell>
          <cell r="C386" t="str">
            <v>UN</v>
          </cell>
          <cell r="D386">
            <v>0.73</v>
          </cell>
          <cell r="E386">
            <v>0</v>
          </cell>
        </row>
        <row r="387">
          <cell r="A387">
            <v>36514</v>
          </cell>
          <cell r="B387" t="str">
            <v>BLOCO CONCRETO TIPO PAVI-S ESP.10CM - 35MPA</v>
          </cell>
          <cell r="C387" t="str">
            <v>UN</v>
          </cell>
          <cell r="D387">
            <v>0.92</v>
          </cell>
          <cell r="E387">
            <v>0</v>
          </cell>
        </row>
        <row r="388">
          <cell r="A388">
            <v>36517</v>
          </cell>
          <cell r="B388" t="str">
            <v>BLOCO CONCRETO PAVI-S ESP. 6CM 35 MPA (48UN/M2)</v>
          </cell>
          <cell r="C388" t="str">
            <v>UN</v>
          </cell>
          <cell r="D388">
            <v>0.61</v>
          </cell>
          <cell r="E388">
            <v>0</v>
          </cell>
        </row>
        <row r="389">
          <cell r="A389">
            <v>36825</v>
          </cell>
          <cell r="B389" t="str">
            <v>TINTA EPOXI INTERSEAL INTERNAT REF 653</v>
          </cell>
          <cell r="C389" t="str">
            <v>L</v>
          </cell>
          <cell r="D389">
            <v>46.21</v>
          </cell>
          <cell r="E389">
            <v>0</v>
          </cell>
        </row>
        <row r="390">
          <cell r="A390">
            <v>37009</v>
          </cell>
          <cell r="B390" t="str">
            <v>VIDRO TRANSPARENTE LISO ESP.4MM,COLOCADO</v>
          </cell>
          <cell r="C390" t="str">
            <v>M2</v>
          </cell>
          <cell r="D390">
            <v>59.72</v>
          </cell>
          <cell r="E390">
            <v>0</v>
          </cell>
        </row>
        <row r="391">
          <cell r="A391">
            <v>37010</v>
          </cell>
          <cell r="B391" t="str">
            <v>VIDRO TRANSPARENTE LISO ESP.3MM,COLOCADO</v>
          </cell>
          <cell r="C391" t="str">
            <v>M2</v>
          </cell>
          <cell r="D391">
            <v>49.35</v>
          </cell>
          <cell r="E391">
            <v>0</v>
          </cell>
        </row>
        <row r="392">
          <cell r="A392">
            <v>37013</v>
          </cell>
          <cell r="B392" t="str">
            <v>VIDRO MINI-BOREAL ESP.4MM, COLOCADO</v>
          </cell>
          <cell r="C392" t="str">
            <v>M2</v>
          </cell>
          <cell r="D392">
            <v>85.76</v>
          </cell>
          <cell r="E392">
            <v>0</v>
          </cell>
        </row>
        <row r="393">
          <cell r="A393">
            <v>37043</v>
          </cell>
          <cell r="B393" t="str">
            <v>MASSA PARA VIDRO</v>
          </cell>
          <cell r="C393" t="str">
            <v>KG</v>
          </cell>
          <cell r="D393">
            <v>3.76</v>
          </cell>
          <cell r="E393">
            <v>0</v>
          </cell>
        </row>
        <row r="394">
          <cell r="A394">
            <v>37057</v>
          </cell>
          <cell r="B394" t="str">
            <v>ESPELHO PRATA ESPESSURA 4 MM</v>
          </cell>
          <cell r="C394" t="str">
            <v>M2</v>
          </cell>
          <cell r="D394">
            <v>209.05</v>
          </cell>
          <cell r="E394">
            <v>0</v>
          </cell>
        </row>
        <row r="395">
          <cell r="A395">
            <v>37090</v>
          </cell>
          <cell r="B395" t="str">
            <v>BOTAO FRANCES P/FIXACAO DE ESPELHOS, CROMADO</v>
          </cell>
          <cell r="C395" t="str">
            <v>UN</v>
          </cell>
          <cell r="D395">
            <v>2.72</v>
          </cell>
          <cell r="E395">
            <v>0</v>
          </cell>
        </row>
        <row r="396">
          <cell r="A396">
            <v>37103</v>
          </cell>
          <cell r="B396" t="str">
            <v>VIDRO ARAMADO ESP. 6MM, COLOCADO</v>
          </cell>
          <cell r="C396" t="str">
            <v>M2</v>
          </cell>
          <cell r="D396">
            <v>306.10000000000002</v>
          </cell>
          <cell r="E396">
            <v>0</v>
          </cell>
        </row>
        <row r="397">
          <cell r="A397">
            <v>37195</v>
          </cell>
          <cell r="B397" t="str">
            <v>GUICHE/GRADIL/PASSA PRATOS - SEDU</v>
          </cell>
          <cell r="C397" t="str">
            <v>M2</v>
          </cell>
          <cell r="D397">
            <v>102.15</v>
          </cell>
          <cell r="E397">
            <v>0</v>
          </cell>
        </row>
        <row r="398">
          <cell r="A398">
            <v>37502</v>
          </cell>
          <cell r="B398" t="str">
            <v>ESMALTE SINTETICO</v>
          </cell>
          <cell r="C398" t="str">
            <v>L</v>
          </cell>
          <cell r="D398">
            <v>19.829999999999998</v>
          </cell>
          <cell r="E398">
            <v>0</v>
          </cell>
        </row>
        <row r="399">
          <cell r="A399">
            <v>37509</v>
          </cell>
          <cell r="B399" t="str">
            <v>TINTA EPOXI PARA ACABAMENTO</v>
          </cell>
          <cell r="C399" t="str">
            <v>L</v>
          </cell>
          <cell r="D399">
            <v>45.7</v>
          </cell>
          <cell r="E399">
            <v>0</v>
          </cell>
        </row>
        <row r="400">
          <cell r="A400">
            <v>37513</v>
          </cell>
          <cell r="B400" t="str">
            <v>TINTA LATEX PVA</v>
          </cell>
          <cell r="C400" t="str">
            <v>L</v>
          </cell>
          <cell r="D400">
            <v>12.36</v>
          </cell>
          <cell r="E400">
            <v>0</v>
          </cell>
        </row>
        <row r="401">
          <cell r="A401">
            <v>37514</v>
          </cell>
          <cell r="B401" t="str">
            <v>TINTA LATEX ACRILICA</v>
          </cell>
          <cell r="C401" t="str">
            <v>L</v>
          </cell>
          <cell r="D401">
            <v>14.61</v>
          </cell>
          <cell r="E401">
            <v>0</v>
          </cell>
        </row>
        <row r="402">
          <cell r="A402">
            <v>37516</v>
          </cell>
          <cell r="B402" t="str">
            <v>TINTA OLEO</v>
          </cell>
          <cell r="C402" t="str">
            <v>L</v>
          </cell>
          <cell r="D402">
            <v>15.89</v>
          </cell>
          <cell r="E402">
            <v>0</v>
          </cell>
        </row>
        <row r="403">
          <cell r="A403">
            <v>37517</v>
          </cell>
          <cell r="B403" t="str">
            <v>TINTA A BASE DE EMULSAO ACRILICA (PARA PISOS)</v>
          </cell>
          <cell r="C403" t="str">
            <v>L</v>
          </cell>
          <cell r="D403">
            <v>9.81</v>
          </cell>
          <cell r="E403">
            <v>0</v>
          </cell>
        </row>
        <row r="404">
          <cell r="A404">
            <v>37519</v>
          </cell>
          <cell r="B404" t="str">
            <v>SELADOR ACRILICO</v>
          </cell>
          <cell r="C404" t="str">
            <v>L</v>
          </cell>
          <cell r="D404">
            <v>6.16</v>
          </cell>
          <cell r="E404">
            <v>0</v>
          </cell>
        </row>
        <row r="405">
          <cell r="A405">
            <v>37532</v>
          </cell>
          <cell r="B405" t="str">
            <v>TINTA ALQUIDICA P/ QUADRO DE GIZ</v>
          </cell>
          <cell r="C405" t="str">
            <v>L</v>
          </cell>
          <cell r="D405">
            <v>20.61</v>
          </cell>
          <cell r="E405">
            <v>0</v>
          </cell>
        </row>
        <row r="406">
          <cell r="A406">
            <v>37564</v>
          </cell>
          <cell r="B406" t="str">
            <v>SOLVENTE PARA TINTA A BASE DE EPOXI</v>
          </cell>
          <cell r="C406" t="str">
            <v>L</v>
          </cell>
          <cell r="D406">
            <v>15.59</v>
          </cell>
          <cell r="E406">
            <v>0</v>
          </cell>
        </row>
        <row r="407">
          <cell r="A407">
            <v>37566</v>
          </cell>
          <cell r="B407" t="str">
            <v>TINTA PARA PISOS</v>
          </cell>
          <cell r="C407" t="str">
            <v>L</v>
          </cell>
          <cell r="D407">
            <v>9.86</v>
          </cell>
          <cell r="E407">
            <v>0</v>
          </cell>
        </row>
        <row r="408">
          <cell r="A408">
            <v>37733</v>
          </cell>
          <cell r="B408" t="str">
            <v>TINTA ESMALTE SINT. BRILHANTE COR BRANCA</v>
          </cell>
          <cell r="C408" t="str">
            <v>L</v>
          </cell>
          <cell r="D408">
            <v>16.600000000000001</v>
          </cell>
          <cell r="E408">
            <v>0</v>
          </cell>
        </row>
        <row r="409">
          <cell r="A409">
            <v>38001</v>
          </cell>
          <cell r="B409" t="str">
            <v>AGUARRAZ MINERAL</v>
          </cell>
          <cell r="C409" t="str">
            <v>L</v>
          </cell>
          <cell r="D409">
            <v>8.76</v>
          </cell>
          <cell r="E409">
            <v>0</v>
          </cell>
        </row>
        <row r="410">
          <cell r="A410">
            <v>38003</v>
          </cell>
          <cell r="B410" t="str">
            <v>CAL EM PO PARA PINTURA</v>
          </cell>
          <cell r="C410" t="str">
            <v>KG</v>
          </cell>
          <cell r="D410">
            <v>1.06</v>
          </cell>
          <cell r="E410">
            <v>0</v>
          </cell>
        </row>
        <row r="411">
          <cell r="A411">
            <v>38006</v>
          </cell>
          <cell r="B411" t="str">
            <v>FUNDO BRANCO FOSCO NIVELADOR P/ MADEIRAS</v>
          </cell>
          <cell r="C411" t="str">
            <v>L</v>
          </cell>
          <cell r="D411">
            <v>18.91</v>
          </cell>
          <cell r="E411">
            <v>0</v>
          </cell>
        </row>
        <row r="412">
          <cell r="A412">
            <v>38009</v>
          </cell>
          <cell r="B412" t="str">
            <v>LIQUIDO SELADOR PARA PINTURA LATEX PVA</v>
          </cell>
          <cell r="C412" t="str">
            <v>L</v>
          </cell>
          <cell r="D412">
            <v>6.65</v>
          </cell>
          <cell r="E412">
            <v>0</v>
          </cell>
        </row>
        <row r="413">
          <cell r="A413">
            <v>38010</v>
          </cell>
          <cell r="B413" t="str">
            <v>LIQUIDO PREPARADOR DE SUPERFICIES</v>
          </cell>
          <cell r="C413" t="str">
            <v>L</v>
          </cell>
          <cell r="D413">
            <v>9.73</v>
          </cell>
          <cell r="E413">
            <v>0</v>
          </cell>
        </row>
        <row r="414">
          <cell r="A414">
            <v>38012</v>
          </cell>
          <cell r="B414" t="str">
            <v>LIXA PARA FERRO</v>
          </cell>
          <cell r="C414" t="str">
            <v>UN</v>
          </cell>
          <cell r="D414">
            <v>2.13</v>
          </cell>
          <cell r="E414">
            <v>0</v>
          </cell>
        </row>
        <row r="415">
          <cell r="A415">
            <v>38013</v>
          </cell>
          <cell r="B415" t="str">
            <v>LIXA PARA MADEIRA/MASSA</v>
          </cell>
          <cell r="C415" t="str">
            <v>UN</v>
          </cell>
          <cell r="D415">
            <v>0.5</v>
          </cell>
          <cell r="E415">
            <v>0</v>
          </cell>
        </row>
        <row r="416">
          <cell r="A416">
            <v>38014</v>
          </cell>
          <cell r="B416" t="str">
            <v>MASSA ACRILICA</v>
          </cell>
          <cell r="C416" t="str">
            <v>KG</v>
          </cell>
          <cell r="D416">
            <v>7.09</v>
          </cell>
          <cell r="E416">
            <v>0</v>
          </cell>
        </row>
        <row r="417">
          <cell r="A417">
            <v>38016</v>
          </cell>
          <cell r="B417" t="str">
            <v>MASSA A OLEO</v>
          </cell>
          <cell r="C417" t="str">
            <v>KG</v>
          </cell>
          <cell r="D417">
            <v>9.32</v>
          </cell>
          <cell r="E417">
            <v>0</v>
          </cell>
        </row>
        <row r="418">
          <cell r="A418">
            <v>38017</v>
          </cell>
          <cell r="B418" t="str">
            <v>MASSA A BASE DE PVA</v>
          </cell>
          <cell r="C418" t="str">
            <v>KG</v>
          </cell>
          <cell r="D418">
            <v>4.5999999999999996</v>
          </cell>
          <cell r="E418">
            <v>0</v>
          </cell>
        </row>
        <row r="419">
          <cell r="A419">
            <v>38018</v>
          </cell>
          <cell r="B419" t="str">
            <v>OLEO DE LINHACA</v>
          </cell>
          <cell r="C419" t="str">
            <v>KG</v>
          </cell>
          <cell r="D419">
            <v>15.57</v>
          </cell>
          <cell r="E419">
            <v>0</v>
          </cell>
        </row>
        <row r="420">
          <cell r="A420">
            <v>38021</v>
          </cell>
          <cell r="B420" t="str">
            <v>PRIMER A BASE DE EPOXI</v>
          </cell>
          <cell r="C420" t="str">
            <v>L</v>
          </cell>
          <cell r="D420">
            <v>48.05</v>
          </cell>
          <cell r="E420">
            <v>0</v>
          </cell>
        </row>
        <row r="421">
          <cell r="A421">
            <v>38022</v>
          </cell>
          <cell r="B421" t="str">
            <v>SILICONE - HIDROFUGANTE</v>
          </cell>
          <cell r="C421" t="str">
            <v>L</v>
          </cell>
          <cell r="D421">
            <v>26.65</v>
          </cell>
          <cell r="E421">
            <v>0</v>
          </cell>
        </row>
        <row r="422">
          <cell r="A422">
            <v>38024</v>
          </cell>
          <cell r="B422" t="str">
            <v>TRINCHA 2"</v>
          </cell>
          <cell r="C422" t="str">
            <v>UN</v>
          </cell>
          <cell r="D422">
            <v>3.89</v>
          </cell>
          <cell r="E422">
            <v>0</v>
          </cell>
        </row>
        <row r="423">
          <cell r="A423">
            <v>38025</v>
          </cell>
          <cell r="B423" t="str">
            <v>VERNIZ ACRILICO PARA CONCRETO</v>
          </cell>
          <cell r="C423" t="str">
            <v>L</v>
          </cell>
          <cell r="D423">
            <v>15.03</v>
          </cell>
          <cell r="E423">
            <v>0</v>
          </cell>
        </row>
        <row r="424">
          <cell r="A424">
            <v>38028</v>
          </cell>
          <cell r="B424" t="str">
            <v>ZARCAO</v>
          </cell>
          <cell r="C424" t="str">
            <v>L</v>
          </cell>
          <cell r="D424">
            <v>10.86</v>
          </cell>
          <cell r="E424">
            <v>0</v>
          </cell>
        </row>
        <row r="425">
          <cell r="A425">
            <v>38029</v>
          </cell>
          <cell r="B425" t="str">
            <v>REMOVEDOR</v>
          </cell>
          <cell r="C425" t="str">
            <v>L</v>
          </cell>
          <cell r="D425">
            <v>20.16</v>
          </cell>
          <cell r="E425">
            <v>0</v>
          </cell>
        </row>
        <row r="426">
          <cell r="A426">
            <v>38030</v>
          </cell>
          <cell r="B426" t="str">
            <v>IMUNIZANTE PARA MADEIRA</v>
          </cell>
          <cell r="C426" t="str">
            <v>L</v>
          </cell>
          <cell r="D426">
            <v>19.05</v>
          </cell>
          <cell r="E426">
            <v>0</v>
          </cell>
        </row>
        <row r="427">
          <cell r="A427">
            <v>38051</v>
          </cell>
          <cell r="B427" t="str">
            <v>VERNIZ FOSCO FILTRO SOLAR LINHA PREMIUM</v>
          </cell>
          <cell r="C427" t="str">
            <v>L</v>
          </cell>
          <cell r="D427">
            <v>19.39</v>
          </cell>
          <cell r="E427">
            <v>0</v>
          </cell>
        </row>
        <row r="428">
          <cell r="A428">
            <v>38054</v>
          </cell>
          <cell r="B428" t="str">
            <v>VERNIZ EPOXI TRANSPARENTE</v>
          </cell>
          <cell r="C428" t="str">
            <v>L</v>
          </cell>
          <cell r="D428">
            <v>44.79</v>
          </cell>
          <cell r="E428">
            <v>0</v>
          </cell>
        </row>
        <row r="429">
          <cell r="A429">
            <v>38088</v>
          </cell>
          <cell r="B429" t="str">
            <v>VERNIZ POLIURETANO BRILHANTE LINHA PREMIUM</v>
          </cell>
          <cell r="C429" t="str">
            <v>L</v>
          </cell>
          <cell r="D429">
            <v>18.18</v>
          </cell>
          <cell r="E429">
            <v>0</v>
          </cell>
        </row>
        <row r="430">
          <cell r="A430">
            <v>38509</v>
          </cell>
          <cell r="B430" t="str">
            <v>GRAMA EM PLACAS TIPO ESMERALDA</v>
          </cell>
          <cell r="C430" t="str">
            <v>M2</v>
          </cell>
          <cell r="D430">
            <v>6.51</v>
          </cell>
          <cell r="E430">
            <v>0</v>
          </cell>
        </row>
        <row r="431">
          <cell r="A431">
            <v>38511</v>
          </cell>
          <cell r="B431" t="str">
            <v>TERRA VEGETAL</v>
          </cell>
          <cell r="C431" t="str">
            <v>M3</v>
          </cell>
          <cell r="D431">
            <v>50.37</v>
          </cell>
          <cell r="E431">
            <v>0</v>
          </cell>
        </row>
        <row r="432">
          <cell r="A432">
            <v>38972</v>
          </cell>
          <cell r="B432" t="str">
            <v>ESC.MAR.C/GUARDA CORPO TUBO FERRO 1" E 3/4" H=4.2M</v>
          </cell>
          <cell r="C432" t="str">
            <v>UN</v>
          </cell>
          <cell r="D432">
            <v>638.58000000000004</v>
          </cell>
          <cell r="E432">
            <v>0</v>
          </cell>
        </row>
        <row r="433">
          <cell r="A433">
            <v>39002</v>
          </cell>
          <cell r="B433" t="str">
            <v>PLACA DE OBRA - PINTADA</v>
          </cell>
          <cell r="C433" t="str">
            <v>M2</v>
          </cell>
          <cell r="D433">
            <v>145.5</v>
          </cell>
          <cell r="E433">
            <v>0</v>
          </cell>
        </row>
        <row r="434">
          <cell r="A434">
            <v>39013</v>
          </cell>
          <cell r="B434" t="str">
            <v>ACIDO MURIATICO</v>
          </cell>
          <cell r="C434" t="str">
            <v>L</v>
          </cell>
          <cell r="D434">
            <v>7.63</v>
          </cell>
          <cell r="E434">
            <v>0</v>
          </cell>
        </row>
        <row r="435">
          <cell r="A435">
            <v>39014</v>
          </cell>
          <cell r="B435" t="str">
            <v>AMONIACO</v>
          </cell>
          <cell r="C435" t="str">
            <v>L</v>
          </cell>
          <cell r="D435">
            <v>7.92</v>
          </cell>
          <cell r="E435">
            <v>0</v>
          </cell>
        </row>
        <row r="436">
          <cell r="A436">
            <v>39021</v>
          </cell>
          <cell r="B436" t="str">
            <v>MASSA PLASTICA</v>
          </cell>
          <cell r="C436" t="str">
            <v>KG</v>
          </cell>
          <cell r="D436">
            <v>12.64</v>
          </cell>
          <cell r="E436">
            <v>0</v>
          </cell>
        </row>
        <row r="437">
          <cell r="A437">
            <v>39032</v>
          </cell>
          <cell r="B437" t="str">
            <v>LETRA FERRO BATIDO H=10CM L= 5CM C/ FUNDO PROTETOR</v>
          </cell>
          <cell r="C437" t="str">
            <v>UN</v>
          </cell>
          <cell r="D437">
            <v>27.55</v>
          </cell>
          <cell r="E437">
            <v>0</v>
          </cell>
        </row>
        <row r="438">
          <cell r="A438">
            <v>39033</v>
          </cell>
          <cell r="B438" t="str">
            <v>LETRA CHAPA FERRO GALV. 20X30 CM C/FUNDO PROTETOR</v>
          </cell>
          <cell r="C438" t="str">
            <v>UN</v>
          </cell>
          <cell r="D438">
            <v>81.09</v>
          </cell>
          <cell r="E438">
            <v>0</v>
          </cell>
        </row>
        <row r="439">
          <cell r="A439">
            <v>39034</v>
          </cell>
          <cell r="B439" t="str">
            <v>LETRA CHAPA F.G.H=10CM L=5CM C/FUNDO PROTE E PARAF</v>
          </cell>
          <cell r="C439" t="str">
            <v>UN</v>
          </cell>
          <cell r="D439">
            <v>27.55</v>
          </cell>
          <cell r="E439">
            <v>0</v>
          </cell>
        </row>
        <row r="440">
          <cell r="A440">
            <v>39044</v>
          </cell>
          <cell r="B440" t="str">
            <v>QUADRO DE GIZ/PINCEL LAMINADO MELAMINICO 3.95X1.29</v>
          </cell>
          <cell r="C440" t="str">
            <v>UN</v>
          </cell>
          <cell r="D440">
            <v>1536.46</v>
          </cell>
          <cell r="E440">
            <v>0</v>
          </cell>
        </row>
        <row r="441">
          <cell r="A441">
            <v>39045</v>
          </cell>
          <cell r="B441" t="str">
            <v>QUADRO DE AVISO EM LAMINADO MELAMINICO 1.29X1.29M</v>
          </cell>
          <cell r="C441" t="str">
            <v>UN</v>
          </cell>
          <cell r="D441">
            <v>542.89</v>
          </cell>
          <cell r="E441">
            <v>0</v>
          </cell>
        </row>
        <row r="442">
          <cell r="A442">
            <v>39052</v>
          </cell>
          <cell r="B442" t="str">
            <v>BICICLETARIO EM TUBO GALV.1" E FERRO LISO 1/2"</v>
          </cell>
          <cell r="C442" t="str">
            <v>M</v>
          </cell>
          <cell r="D442">
            <v>94.64</v>
          </cell>
          <cell r="E442">
            <v>0</v>
          </cell>
        </row>
        <row r="443">
          <cell r="A443">
            <v>39063</v>
          </cell>
          <cell r="B443" t="str">
            <v>CERA INCOLOR</v>
          </cell>
          <cell r="C443" t="str">
            <v>KG</v>
          </cell>
          <cell r="D443">
            <v>6.01</v>
          </cell>
          <cell r="E443">
            <v>0</v>
          </cell>
        </row>
        <row r="444">
          <cell r="A444">
            <v>39072</v>
          </cell>
          <cell r="B444" t="str">
            <v>PINTURA DE LETRAS EM PAREDE DIM.20X30 CM</v>
          </cell>
          <cell r="C444" t="str">
            <v>UN</v>
          </cell>
          <cell r="D444">
            <v>16.7</v>
          </cell>
          <cell r="E444">
            <v>0</v>
          </cell>
        </row>
        <row r="445">
          <cell r="A445">
            <v>39075</v>
          </cell>
          <cell r="B445" t="str">
            <v>ESTRADO DE MADEIRA PADRÃO CASA GAS CONF PROJETO</v>
          </cell>
          <cell r="C445" t="str">
            <v>M2</v>
          </cell>
          <cell r="D445">
            <v>167.49</v>
          </cell>
          <cell r="E445">
            <v>0</v>
          </cell>
        </row>
        <row r="446">
          <cell r="A446">
            <v>39089</v>
          </cell>
          <cell r="B446" t="str">
            <v>TRAVE P/ FUT SALAO 3,00X2,00M C/ RECUO FG D=3"</v>
          </cell>
          <cell r="C446" t="str">
            <v>UN</v>
          </cell>
          <cell r="D446">
            <v>690.32</v>
          </cell>
          <cell r="E446">
            <v>0</v>
          </cell>
        </row>
        <row r="447">
          <cell r="A447">
            <v>39090</v>
          </cell>
          <cell r="B447" t="str">
            <v>POSTE VOLEIBOL FG D=2 1/2" C/ CARRETILHA E TAMPAO</v>
          </cell>
          <cell r="C447" t="str">
            <v>CJ</v>
          </cell>
          <cell r="D447">
            <v>701.6</v>
          </cell>
          <cell r="E447">
            <v>0</v>
          </cell>
        </row>
        <row r="448">
          <cell r="A448">
            <v>39110</v>
          </cell>
          <cell r="B448" t="str">
            <v>ISOPOR ESP. 2 CM</v>
          </cell>
          <cell r="C448" t="str">
            <v>M2</v>
          </cell>
          <cell r="D448">
            <v>5.01</v>
          </cell>
          <cell r="E448">
            <v>0</v>
          </cell>
        </row>
        <row r="449">
          <cell r="A449">
            <v>39113</v>
          </cell>
          <cell r="B449" t="str">
            <v>REDE COM MALHA GROSSA PARA TRAVE DE FUTEBOL SALAO</v>
          </cell>
          <cell r="C449" t="str">
            <v>UN</v>
          </cell>
          <cell r="D449">
            <v>83.64</v>
          </cell>
          <cell r="E449">
            <v>0</v>
          </cell>
        </row>
        <row r="450">
          <cell r="A450">
            <v>39114</v>
          </cell>
          <cell r="B450" t="str">
            <v>CESTA PARA ARO DE BASQUETE</v>
          </cell>
          <cell r="C450" t="str">
            <v>UN</v>
          </cell>
          <cell r="D450">
            <v>6.11</v>
          </cell>
          <cell r="E450">
            <v>0</v>
          </cell>
        </row>
        <row r="451">
          <cell r="A451">
            <v>39115</v>
          </cell>
          <cell r="B451" t="str">
            <v>REDE VOLEIBOL MALHA GROSSA, LONA SUP. E INFERIOR</v>
          </cell>
          <cell r="C451" t="str">
            <v>UN</v>
          </cell>
          <cell r="D451">
            <v>120</v>
          </cell>
          <cell r="E451">
            <v>0</v>
          </cell>
        </row>
        <row r="452">
          <cell r="A452">
            <v>39165</v>
          </cell>
          <cell r="B452" t="str">
            <v>CAIXA DE PRE-MOLDADO P/ AR CONDICIONADO 18.000 BTU</v>
          </cell>
          <cell r="C452" t="str">
            <v>UN</v>
          </cell>
          <cell r="D452">
            <v>101.85</v>
          </cell>
          <cell r="E452">
            <v>0</v>
          </cell>
        </row>
        <row r="453">
          <cell r="A453">
            <v>39189</v>
          </cell>
          <cell r="B453" t="str">
            <v>MASSA RAPIDA</v>
          </cell>
          <cell r="C453" t="str">
            <v>KG</v>
          </cell>
          <cell r="D453">
            <v>17.940000000000001</v>
          </cell>
          <cell r="E453">
            <v>0</v>
          </cell>
        </row>
        <row r="454">
          <cell r="A454">
            <v>39285</v>
          </cell>
          <cell r="B454" t="str">
            <v>PRENDEDOR DE PORTA</v>
          </cell>
          <cell r="C454" t="str">
            <v>UN</v>
          </cell>
          <cell r="D454">
            <v>12.61</v>
          </cell>
          <cell r="E454">
            <v>0</v>
          </cell>
        </row>
        <row r="455">
          <cell r="A455">
            <v>39393</v>
          </cell>
          <cell r="B455" t="str">
            <v>CANTONEIRA DE FERRO 3/8" X 4" X 4"</v>
          </cell>
          <cell r="C455" t="str">
            <v>M</v>
          </cell>
          <cell r="D455">
            <v>64.58</v>
          </cell>
          <cell r="E455">
            <v>0</v>
          </cell>
        </row>
        <row r="456">
          <cell r="A456">
            <v>39394</v>
          </cell>
          <cell r="B456" t="str">
            <v>LAMINADO MELAMÍNICO ESP. 0.8MM</v>
          </cell>
          <cell r="C456" t="str">
            <v>M2</v>
          </cell>
          <cell r="D456">
            <v>15.13</v>
          </cell>
          <cell r="E456">
            <v>0</v>
          </cell>
        </row>
        <row r="457">
          <cell r="A457">
            <v>39402</v>
          </cell>
          <cell r="B457" t="str">
            <v>QUADRO QUADRICULABRANCO P/ PINCEL DIM 3.00 X 1.50M</v>
          </cell>
          <cell r="C457" t="str">
            <v>UN</v>
          </cell>
          <cell r="D457">
            <v>1427.45</v>
          </cell>
          <cell r="E457">
            <v>0</v>
          </cell>
        </row>
        <row r="458">
          <cell r="A458">
            <v>39515</v>
          </cell>
          <cell r="B458" t="str">
            <v>ABRAÇADEIRA GUIA P/ MASTRO 11/2" DESCIDA- TEL-320</v>
          </cell>
          <cell r="C458" t="str">
            <v>UN</v>
          </cell>
          <cell r="D458">
            <v>8.17</v>
          </cell>
          <cell r="E458">
            <v>0</v>
          </cell>
        </row>
        <row r="459">
          <cell r="A459">
            <v>40102</v>
          </cell>
          <cell r="B459" t="str">
            <v>POSTE CIRC.CONCRETO ALT.MONT.11M/300KG,PAD ESCELSA</v>
          </cell>
          <cell r="C459" t="str">
            <v>UN</v>
          </cell>
          <cell r="D459">
            <v>869.99</v>
          </cell>
          <cell r="E459">
            <v>0</v>
          </cell>
        </row>
        <row r="460">
          <cell r="A460">
            <v>40111</v>
          </cell>
          <cell r="B460" t="str">
            <v>POSTE EM TUBO DE FERRO GALV. DIAM.50MM, H=5.0M</v>
          </cell>
          <cell r="C460" t="str">
            <v>UN</v>
          </cell>
          <cell r="D460">
            <v>279.83</v>
          </cell>
          <cell r="E460">
            <v>0</v>
          </cell>
        </row>
        <row r="461">
          <cell r="A461">
            <v>40112</v>
          </cell>
          <cell r="B461" t="str">
            <v>POSTE EM TUBO DE FERRO GALV. DIAM.100MM, H=6.0M</v>
          </cell>
          <cell r="C461" t="str">
            <v>UN</v>
          </cell>
          <cell r="D461">
            <v>477.89</v>
          </cell>
          <cell r="E461">
            <v>0</v>
          </cell>
        </row>
        <row r="462">
          <cell r="A462">
            <v>40140</v>
          </cell>
          <cell r="B462" t="str">
            <v>POSTE CIRCULAR DE CONCRETO 11M/600KG</v>
          </cell>
          <cell r="C462" t="str">
            <v>UN</v>
          </cell>
          <cell r="D462">
            <v>1222.2</v>
          </cell>
          <cell r="E462">
            <v>0</v>
          </cell>
        </row>
        <row r="463">
          <cell r="A463">
            <v>40144</v>
          </cell>
          <cell r="B463" t="str">
            <v>POSTE PADRÃO ENTRADA TRIFÁSICO, COMPLETO, ESCELSA</v>
          </cell>
          <cell r="C463" t="str">
            <v>UN</v>
          </cell>
          <cell r="D463">
            <v>921.5</v>
          </cell>
          <cell r="E463">
            <v>0</v>
          </cell>
        </row>
        <row r="464">
          <cell r="A464">
            <v>40164</v>
          </cell>
          <cell r="B464" t="str">
            <v>POSTE EM TUBO DE FERRO GALV. DIAM.76MM, H=6.0M</v>
          </cell>
          <cell r="C464" t="str">
            <v>UN</v>
          </cell>
          <cell r="D464">
            <v>375.06</v>
          </cell>
          <cell r="E464">
            <v>0</v>
          </cell>
        </row>
        <row r="465">
          <cell r="A465">
            <v>40211</v>
          </cell>
          <cell r="B465" t="str">
            <v>MÃO FRANCESA PLANA GALVANIZADA 726 MM</v>
          </cell>
          <cell r="C465" t="str">
            <v>UN</v>
          </cell>
          <cell r="D465">
            <v>33.89</v>
          </cell>
          <cell r="E465">
            <v>0</v>
          </cell>
        </row>
        <row r="466">
          <cell r="A466">
            <v>40235</v>
          </cell>
          <cell r="B466" t="str">
            <v>Fornecimento, preparo e aplicação de
concreto Fck=20 MPa (brita 1 e 2)
- (5% de perdas já incluído no custo)</v>
          </cell>
          <cell r="C466" t="str">
            <v>m3</v>
          </cell>
          <cell r="D466">
            <v>372.04</v>
          </cell>
          <cell r="E466">
            <v>0</v>
          </cell>
        </row>
        <row r="467">
          <cell r="A467">
            <v>40303</v>
          </cell>
          <cell r="B467" t="str">
            <v>REDUÇÃO CONCÊNT ELETROC PERF "U" 200X150MM,ABA100</v>
          </cell>
          <cell r="C467" t="str">
            <v>UN</v>
          </cell>
          <cell r="D467">
            <v>26.72</v>
          </cell>
          <cell r="E467">
            <v>0</v>
          </cell>
        </row>
        <row r="468">
          <cell r="A468">
            <v>40304</v>
          </cell>
          <cell r="B468" t="str">
            <v>REDUÇÃO CONCÊNT ELETROC PERF "U" 300X150MM,ABA100</v>
          </cell>
          <cell r="C468" t="str">
            <v>UN</v>
          </cell>
          <cell r="D468">
            <v>36.130000000000003</v>
          </cell>
          <cell r="E468">
            <v>0</v>
          </cell>
        </row>
        <row r="469">
          <cell r="A469">
            <v>40305</v>
          </cell>
          <cell r="B469" t="str">
            <v>REDUÇÃO CONCÊNT ELETROC PERF "U" 400X150MM,ABA100</v>
          </cell>
          <cell r="C469" t="str">
            <v>UN</v>
          </cell>
          <cell r="D469">
            <v>44.93</v>
          </cell>
          <cell r="E469">
            <v>0</v>
          </cell>
        </row>
        <row r="470">
          <cell r="A470">
            <v>40306</v>
          </cell>
          <cell r="B470" t="str">
            <v>SUPORTE ANGULAR P/ELETROCALHA DE 400X100MM</v>
          </cell>
          <cell r="C470" t="str">
            <v>UN</v>
          </cell>
          <cell r="D470">
            <v>6.03</v>
          </cell>
          <cell r="E470">
            <v>0</v>
          </cell>
        </row>
        <row r="471">
          <cell r="A471">
            <v>40401</v>
          </cell>
          <cell r="B471" t="str">
            <v>CURVA 90º BARRA CHATA ALUM 7/8"X1/8"X300MM TEL 778</v>
          </cell>
          <cell r="C471" t="str">
            <v>UN</v>
          </cell>
          <cell r="D471">
            <v>2.67</v>
          </cell>
          <cell r="E471">
            <v>0</v>
          </cell>
        </row>
        <row r="472">
          <cell r="A472">
            <v>40504</v>
          </cell>
          <cell r="B472" t="str">
            <v>ISOLADOR DE PINO PARA 15KV</v>
          </cell>
          <cell r="C472" t="str">
            <v>UN</v>
          </cell>
          <cell r="D472">
            <v>22.15</v>
          </cell>
          <cell r="E472">
            <v>0</v>
          </cell>
        </row>
        <row r="473">
          <cell r="A473">
            <v>40522</v>
          </cell>
          <cell r="B473" t="str">
            <v>CONECTOR PORCELANA 3P P/FIO 10MM2</v>
          </cell>
          <cell r="C473" t="str">
            <v>UN</v>
          </cell>
          <cell r="D473">
            <v>8.57</v>
          </cell>
          <cell r="E473">
            <v>0</v>
          </cell>
        </row>
        <row r="474">
          <cell r="A474">
            <v>40523</v>
          </cell>
          <cell r="B474" t="str">
            <v>CONECTOR PORCELANA 3P P/FIO 6MM2</v>
          </cell>
          <cell r="C474" t="str">
            <v>UN</v>
          </cell>
          <cell r="D474">
            <v>5.66</v>
          </cell>
          <cell r="E474">
            <v>0</v>
          </cell>
        </row>
        <row r="475">
          <cell r="A475">
            <v>40524</v>
          </cell>
          <cell r="B475" t="str">
            <v>CONECTOR PORCELANA 3P P/ FIO 4MM2</v>
          </cell>
          <cell r="C475" t="str">
            <v>UN</v>
          </cell>
          <cell r="D475">
            <v>5.58</v>
          </cell>
          <cell r="E475">
            <v>0</v>
          </cell>
        </row>
        <row r="476">
          <cell r="A476">
            <v>40761</v>
          </cell>
          <cell r="B476" t="str">
            <v>LUMINARIA BETA II TECNOWATT</v>
          </cell>
          <cell r="C476" t="str">
            <v>UN</v>
          </cell>
          <cell r="D476">
            <v>600.42999999999995</v>
          </cell>
          <cell r="E476">
            <v>0</v>
          </cell>
        </row>
        <row r="477">
          <cell r="A477">
            <v>41054</v>
          </cell>
          <cell r="B477" t="str">
            <v>TRANSF. TRIFASICO A OLEO 225KVA 13.8KV - 220/127V</v>
          </cell>
          <cell r="C477" t="str">
            <v>UN</v>
          </cell>
          <cell r="D477">
            <v>12078.85</v>
          </cell>
          <cell r="E477">
            <v>0</v>
          </cell>
        </row>
        <row r="478">
          <cell r="A478">
            <v>41055</v>
          </cell>
          <cell r="B478" t="str">
            <v>TRANSF. TRIF A OLEO 75KVA 13.8 A 10.8KV - 220/127V</v>
          </cell>
          <cell r="C478" t="str">
            <v>UN</v>
          </cell>
          <cell r="D478">
            <v>5785.88</v>
          </cell>
          <cell r="E478">
            <v>0</v>
          </cell>
        </row>
        <row r="479">
          <cell r="A479">
            <v>41056</v>
          </cell>
          <cell r="B479" t="str">
            <v>TRANSF A OLEO MINERAL 150KVA 13.8-10.4 KV 220127V</v>
          </cell>
          <cell r="C479" t="str">
            <v>UN</v>
          </cell>
          <cell r="D479">
            <v>9114.14</v>
          </cell>
          <cell r="E479">
            <v>0</v>
          </cell>
        </row>
        <row r="480">
          <cell r="A480">
            <v>41058</v>
          </cell>
          <cell r="B480" t="str">
            <v>TRANSF TRIFASICO 112.5KVA 13.8KV/220-127V A OLEO</v>
          </cell>
          <cell r="C480" t="str">
            <v>UN</v>
          </cell>
          <cell r="D480">
            <v>7294.32</v>
          </cell>
          <cell r="E480">
            <v>0</v>
          </cell>
        </row>
        <row r="481">
          <cell r="A481">
            <v>41106</v>
          </cell>
          <cell r="B481" t="str">
            <v>TELA BELINOX, L=242MM/E=1,5MM INOX-TEL-752</v>
          </cell>
          <cell r="C481" t="str">
            <v>M</v>
          </cell>
          <cell r="D481">
            <v>19.940000000000001</v>
          </cell>
          <cell r="E481">
            <v>0</v>
          </cell>
        </row>
        <row r="482">
          <cell r="A482">
            <v>41520</v>
          </cell>
          <cell r="B482" t="str">
            <v>CX PASS MET Nº6 "TELEBRAS" 120X120X15CM CH GALV</v>
          </cell>
          <cell r="C482" t="str">
            <v>UN</v>
          </cell>
          <cell r="D482">
            <v>622.64</v>
          </cell>
          <cell r="E482">
            <v>0</v>
          </cell>
        </row>
        <row r="483">
          <cell r="A483">
            <v>41526</v>
          </cell>
          <cell r="B483" t="str">
            <v>QUADRO DIST EMBUTIR MET 3F 6 CIRC - 100A C/ TRINC</v>
          </cell>
          <cell r="C483" t="str">
            <v>UN</v>
          </cell>
          <cell r="D483">
            <v>78.06</v>
          </cell>
          <cell r="E483">
            <v>0</v>
          </cell>
        </row>
        <row r="484">
          <cell r="A484">
            <v>41527</v>
          </cell>
          <cell r="B484" t="str">
            <v>QUADRO DIST EMBUTIR MET 3F 12 CIRC - 100A C/ TRINC</v>
          </cell>
          <cell r="C484" t="str">
            <v>UN</v>
          </cell>
          <cell r="D484">
            <v>196.55</v>
          </cell>
          <cell r="E484">
            <v>0</v>
          </cell>
        </row>
        <row r="485">
          <cell r="A485">
            <v>41528</v>
          </cell>
          <cell r="B485" t="str">
            <v>QUADRO DIST EMBUTIR MET 3F 18 CIRC - 100A C/ TRINC</v>
          </cell>
          <cell r="C485" t="str">
            <v>UN</v>
          </cell>
          <cell r="D485">
            <v>228.67</v>
          </cell>
          <cell r="E485">
            <v>0</v>
          </cell>
        </row>
        <row r="486">
          <cell r="A486">
            <v>41530</v>
          </cell>
          <cell r="B486" t="str">
            <v>QUADRO DIST EMBUTIR MET 3F 40 CIRC - 100A C/ TRINC</v>
          </cell>
          <cell r="C486" t="str">
            <v>UN</v>
          </cell>
          <cell r="D486">
            <v>370.76</v>
          </cell>
          <cell r="E486">
            <v>0</v>
          </cell>
        </row>
        <row r="487">
          <cell r="A487">
            <v>41533</v>
          </cell>
          <cell r="B487" t="str">
            <v>QUADRO DIST EMBUTIR MET 3F 24 CIRC - 100A C/ TRINC</v>
          </cell>
          <cell r="C487" t="str">
            <v>UN</v>
          </cell>
          <cell r="D487">
            <v>245.59</v>
          </cell>
          <cell r="E487">
            <v>0</v>
          </cell>
        </row>
        <row r="488">
          <cell r="A488">
            <v>41535</v>
          </cell>
          <cell r="B488" t="str">
            <v>CAIXA PARA TC: 450X670X210MM</v>
          </cell>
          <cell r="C488" t="str">
            <v>UN</v>
          </cell>
          <cell r="D488">
            <v>300.13</v>
          </cell>
          <cell r="E488">
            <v>0</v>
          </cell>
        </row>
        <row r="489">
          <cell r="A489">
            <v>41536</v>
          </cell>
          <cell r="B489" t="str">
            <v>QUADRO DIST EMBUTIR MET 3F 32 CIRC - 100A C/ TRINC</v>
          </cell>
          <cell r="C489" t="str">
            <v>UN</v>
          </cell>
          <cell r="D489">
            <v>302.95999999999998</v>
          </cell>
          <cell r="E489">
            <v>0</v>
          </cell>
        </row>
        <row r="490">
          <cell r="A490">
            <v>41537</v>
          </cell>
          <cell r="B490" t="str">
            <v>QUADRO DIST EMBUTIR PVC 3 CIRC S/ BARRAMENTO</v>
          </cell>
          <cell r="C490" t="str">
            <v>UN</v>
          </cell>
          <cell r="D490">
            <v>30.09</v>
          </cell>
          <cell r="E490">
            <v>0</v>
          </cell>
        </row>
        <row r="491">
          <cell r="A491">
            <v>41542</v>
          </cell>
          <cell r="B491" t="str">
            <v>CAIXA P/ T.C. DE BT ATE 112,5KVA/200:5A - P981-001</v>
          </cell>
          <cell r="C491" t="str">
            <v>UN</v>
          </cell>
          <cell r="D491">
            <v>266.42</v>
          </cell>
          <cell r="E491">
            <v>0</v>
          </cell>
        </row>
        <row r="492">
          <cell r="A492">
            <v>41543</v>
          </cell>
          <cell r="B492" t="str">
            <v>CHAVE BLINDADA 600V-200A C/ FUSIVEL NH160A</v>
          </cell>
          <cell r="C492" t="str">
            <v>UN</v>
          </cell>
          <cell r="D492">
            <v>1458.76</v>
          </cell>
          <cell r="E492">
            <v>0</v>
          </cell>
        </row>
        <row r="493">
          <cell r="A493">
            <v>41569</v>
          </cell>
          <cell r="B493" t="str">
            <v>CAIXA PARA MEDIDOR POLIFASICO ESCELSA P980005</v>
          </cell>
          <cell r="C493" t="str">
            <v>UN</v>
          </cell>
          <cell r="D493">
            <v>74.64</v>
          </cell>
          <cell r="E493">
            <v>0</v>
          </cell>
        </row>
        <row r="494">
          <cell r="A494">
            <v>41579</v>
          </cell>
          <cell r="B494" t="str">
            <v>CAIXA P/ TC 112,5 ATE 225KVA/400:5A - P981-002</v>
          </cell>
          <cell r="C494" t="str">
            <v>UN</v>
          </cell>
          <cell r="D494">
            <v>437.53</v>
          </cell>
          <cell r="E494">
            <v>0</v>
          </cell>
        </row>
        <row r="495">
          <cell r="A495">
            <v>41588</v>
          </cell>
          <cell r="B495" t="str">
            <v>CAIXA PVC 4" X 4" TIGREFLEX</v>
          </cell>
          <cell r="C495" t="str">
            <v>UN</v>
          </cell>
          <cell r="D495">
            <v>3.16</v>
          </cell>
          <cell r="E495">
            <v>0</v>
          </cell>
        </row>
        <row r="496">
          <cell r="A496">
            <v>41667</v>
          </cell>
          <cell r="B496" t="str">
            <v>CAIXA PVC 3" X 3" TIGREFLEX - SEXTAVADA</v>
          </cell>
          <cell r="C496" t="str">
            <v>UN</v>
          </cell>
          <cell r="D496">
            <v>3.88</v>
          </cell>
          <cell r="E496">
            <v>0</v>
          </cell>
        </row>
        <row r="497">
          <cell r="A497">
            <v>41670</v>
          </cell>
          <cell r="B497" t="str">
            <v>QUADRO DIST EMBUTIR MET 12 CIRC S/ BARRAMENTO</v>
          </cell>
          <cell r="C497" t="str">
            <v>UN</v>
          </cell>
          <cell r="D497">
            <v>63.31</v>
          </cell>
          <cell r="E497">
            <v>0</v>
          </cell>
        </row>
        <row r="498">
          <cell r="A498">
            <v>41724</v>
          </cell>
          <cell r="B498" t="str">
            <v>QUADRO DIST EMBUTIR MET 3F 16 CIRC - 100A C/ TRINC</v>
          </cell>
          <cell r="C498" t="str">
            <v>UN</v>
          </cell>
          <cell r="D498">
            <v>207.39</v>
          </cell>
          <cell r="E498">
            <v>0</v>
          </cell>
        </row>
        <row r="499">
          <cell r="A499">
            <v>41726</v>
          </cell>
          <cell r="B499" t="str">
            <v>QUADRO DIST EMBUTIR MET 3F 28 CIRC - 100A C/ TRINC</v>
          </cell>
          <cell r="C499" t="str">
            <v>UN</v>
          </cell>
          <cell r="D499">
            <v>259.33999999999997</v>
          </cell>
          <cell r="E499">
            <v>0</v>
          </cell>
        </row>
        <row r="500">
          <cell r="A500">
            <v>41815</v>
          </cell>
          <cell r="B500" t="str">
            <v>QUADRO DIST EMBUTIR MET 3F 44 CIRC - 150A C/ TRINC</v>
          </cell>
          <cell r="C500" t="str">
            <v>UN</v>
          </cell>
          <cell r="D500">
            <v>496.31</v>
          </cell>
          <cell r="E500">
            <v>0</v>
          </cell>
        </row>
        <row r="501">
          <cell r="A501">
            <v>41817</v>
          </cell>
          <cell r="B501" t="str">
            <v>QUADRO DIST EMBUTIR MET 3F 54 CIRC - 100A C/ TRINC</v>
          </cell>
          <cell r="C501" t="str">
            <v>UN</v>
          </cell>
          <cell r="D501">
            <v>691.23</v>
          </cell>
          <cell r="E501">
            <v>0</v>
          </cell>
        </row>
        <row r="502">
          <cell r="A502">
            <v>41821</v>
          </cell>
          <cell r="B502" t="str">
            <v>QUADRO DIST EMBUTIR MET 3F 44 CIRC - 100A C/ TRINC</v>
          </cell>
          <cell r="C502" t="str">
            <v>UN</v>
          </cell>
          <cell r="D502">
            <v>370.76</v>
          </cell>
          <cell r="E502">
            <v>0</v>
          </cell>
        </row>
        <row r="503">
          <cell r="A503">
            <v>41860</v>
          </cell>
          <cell r="B503" t="str">
            <v>QUADRO DIST EMB MET 3F 56/40 CIRC DIN/UL - 225A</v>
          </cell>
          <cell r="C503" t="str">
            <v>UN</v>
          </cell>
          <cell r="D503">
            <v>691.23</v>
          </cell>
          <cell r="E503">
            <v>0</v>
          </cell>
        </row>
        <row r="504">
          <cell r="A504">
            <v>41861</v>
          </cell>
          <cell r="B504" t="str">
            <v>CAIXA PASSAG. CH 18 C/TAMPA PARAF. 400X400X120MM</v>
          </cell>
          <cell r="C504" t="str">
            <v>UN</v>
          </cell>
          <cell r="D504">
            <v>66.099999999999994</v>
          </cell>
          <cell r="E504">
            <v>0</v>
          </cell>
        </row>
        <row r="505">
          <cell r="A505">
            <v>41962</v>
          </cell>
          <cell r="B505" t="str">
            <v>QUADRO DIST EMBUTIR MET 3F 34 CIRC - 100A C/ TRINC</v>
          </cell>
          <cell r="C505" t="str">
            <v>UN</v>
          </cell>
          <cell r="D505">
            <v>302.95999999999998</v>
          </cell>
          <cell r="E505">
            <v>0</v>
          </cell>
        </row>
        <row r="506">
          <cell r="A506">
            <v>42014</v>
          </cell>
          <cell r="B506" t="str">
            <v>CURVA 90 DE FERRO GALV. P/ ELETRODUTO DE 1 1/4"</v>
          </cell>
          <cell r="C506" t="str">
            <v>UN</v>
          </cell>
          <cell r="D506">
            <v>9.93</v>
          </cell>
          <cell r="E506">
            <v>0</v>
          </cell>
        </row>
        <row r="507">
          <cell r="A507">
            <v>42030</v>
          </cell>
          <cell r="B507" t="str">
            <v>LUVA DE FERRO GALV. P/ ELETRODUTO DE 4"</v>
          </cell>
          <cell r="C507" t="str">
            <v>UN</v>
          </cell>
          <cell r="D507">
            <v>17.89</v>
          </cell>
          <cell r="E507">
            <v>0</v>
          </cell>
        </row>
        <row r="508">
          <cell r="A508">
            <v>42047</v>
          </cell>
          <cell r="B508" t="str">
            <v>ELETRODUTO DE FERRO GALVANIZADO 6"</v>
          </cell>
          <cell r="C508" t="str">
            <v>M</v>
          </cell>
          <cell r="D508">
            <v>179.28</v>
          </cell>
          <cell r="E508">
            <v>0</v>
          </cell>
        </row>
        <row r="509">
          <cell r="A509">
            <v>42050</v>
          </cell>
          <cell r="B509" t="str">
            <v>ELETRODUTO DE FERRO GALVANIZADO 1 1/4"</v>
          </cell>
          <cell r="C509" t="str">
            <v>M</v>
          </cell>
          <cell r="D509">
            <v>13.82</v>
          </cell>
          <cell r="E509">
            <v>0</v>
          </cell>
        </row>
        <row r="510">
          <cell r="A510">
            <v>42052</v>
          </cell>
          <cell r="B510" t="str">
            <v>ELETRODUTO DE FERRO GALVANIZADO 4"</v>
          </cell>
          <cell r="C510" t="str">
            <v>M</v>
          </cell>
          <cell r="D510">
            <v>56.34</v>
          </cell>
          <cell r="E510">
            <v>0</v>
          </cell>
        </row>
        <row r="511">
          <cell r="A511">
            <v>42087</v>
          </cell>
          <cell r="B511" t="str">
            <v>CURVA 90º LONGA FERRO GALVANIZADO 3"</v>
          </cell>
          <cell r="C511" t="str">
            <v>UN</v>
          </cell>
          <cell r="D511">
            <v>61.71</v>
          </cell>
          <cell r="E511">
            <v>0</v>
          </cell>
        </row>
        <row r="512">
          <cell r="A512">
            <v>42088</v>
          </cell>
          <cell r="B512" t="str">
            <v>REDUCAO EM ACO GALV. 50X40MM</v>
          </cell>
          <cell r="C512" t="str">
            <v>UN</v>
          </cell>
          <cell r="D512">
            <v>11.98</v>
          </cell>
          <cell r="E512">
            <v>0</v>
          </cell>
        </row>
        <row r="513">
          <cell r="A513">
            <v>42090</v>
          </cell>
          <cell r="B513" t="str">
            <v>ELETRODUTO DE FERRO GALVANIZADO 3"</v>
          </cell>
          <cell r="C513" t="str">
            <v>M</v>
          </cell>
          <cell r="D513">
            <v>38.69</v>
          </cell>
          <cell r="E513">
            <v>0</v>
          </cell>
        </row>
        <row r="514">
          <cell r="A514">
            <v>42091</v>
          </cell>
          <cell r="B514" t="str">
            <v>REDUÇÃO DE FERRO GALVANIZADO Ø 50X32MM (2X1 1/4")</v>
          </cell>
          <cell r="C514" t="str">
            <v>UN</v>
          </cell>
          <cell r="D514">
            <v>11.98</v>
          </cell>
          <cell r="E514">
            <v>0</v>
          </cell>
        </row>
        <row r="515">
          <cell r="A515">
            <v>42125</v>
          </cell>
          <cell r="B515" t="str">
            <v>LUVA DE FERRO GALV. P/ ELETRODUTO DE 3"</v>
          </cell>
          <cell r="C515" t="str">
            <v>UN</v>
          </cell>
          <cell r="D515">
            <v>11.85</v>
          </cell>
          <cell r="E515">
            <v>0</v>
          </cell>
        </row>
        <row r="516">
          <cell r="A516">
            <v>42301</v>
          </cell>
          <cell r="B516" t="str">
            <v>CONDULETE ALUMINIO TIPO 'B' DIAMETRO 3/4" C/ TAMPA</v>
          </cell>
          <cell r="C516" t="str">
            <v>UN</v>
          </cell>
          <cell r="D516">
            <v>7.91</v>
          </cell>
          <cell r="E516">
            <v>0</v>
          </cell>
        </row>
        <row r="517">
          <cell r="A517">
            <v>42302</v>
          </cell>
          <cell r="B517" t="str">
            <v>CONDULETE ALUMINIO TIPO 'LR' DIAM 3/4" C/ TAMPA</v>
          </cell>
          <cell r="C517" t="str">
            <v>UN</v>
          </cell>
          <cell r="D517">
            <v>7.9</v>
          </cell>
          <cell r="E517">
            <v>0</v>
          </cell>
        </row>
        <row r="518">
          <cell r="A518">
            <v>42303</v>
          </cell>
          <cell r="B518" t="str">
            <v>CONDULETE ALUMINIO TIPO 'X' DIAM 3/4" C/ TAMPA</v>
          </cell>
          <cell r="C518" t="str">
            <v>UN</v>
          </cell>
          <cell r="D518">
            <v>8.75</v>
          </cell>
          <cell r="E518">
            <v>0</v>
          </cell>
        </row>
        <row r="519">
          <cell r="A519">
            <v>42501</v>
          </cell>
          <cell r="B519" t="str">
            <v>ELETRODUTO DE PVC RIGIDO 1/2"</v>
          </cell>
          <cell r="C519" t="str">
            <v>M</v>
          </cell>
          <cell r="D519">
            <v>1.62</v>
          </cell>
          <cell r="E519">
            <v>0</v>
          </cell>
        </row>
        <row r="520">
          <cell r="A520">
            <v>42502</v>
          </cell>
          <cell r="B520" t="str">
            <v>ELETRODUTO DE PVC RIGIDO 3/4"</v>
          </cell>
          <cell r="C520" t="str">
            <v>M</v>
          </cell>
          <cell r="D520">
            <v>2.04</v>
          </cell>
          <cell r="E520">
            <v>0</v>
          </cell>
        </row>
        <row r="521">
          <cell r="A521">
            <v>42503</v>
          </cell>
          <cell r="B521" t="str">
            <v>ELETRODUTO DE PVC RIGIDO 1"</v>
          </cell>
          <cell r="C521" t="str">
            <v>M</v>
          </cell>
          <cell r="D521">
            <v>3.06</v>
          </cell>
          <cell r="E521">
            <v>0</v>
          </cell>
        </row>
        <row r="522">
          <cell r="A522">
            <v>42504</v>
          </cell>
          <cell r="B522" t="str">
            <v>ELETRODUTO DE PVC RIGIDO 1 1/4"</v>
          </cell>
          <cell r="C522" t="str">
            <v>M</v>
          </cell>
          <cell r="D522">
            <v>4.1100000000000003</v>
          </cell>
          <cell r="E522">
            <v>0</v>
          </cell>
        </row>
        <row r="523">
          <cell r="A523">
            <v>42505</v>
          </cell>
          <cell r="B523" t="str">
            <v>ELETRODUTO DE PVC RIGIDO 1 1/2"</v>
          </cell>
          <cell r="C523" t="str">
            <v>M</v>
          </cell>
          <cell r="D523">
            <v>5.75</v>
          </cell>
          <cell r="E523">
            <v>0</v>
          </cell>
        </row>
        <row r="524">
          <cell r="A524">
            <v>42506</v>
          </cell>
          <cell r="B524" t="str">
            <v>ELETRODUTO DE PVC RIGIDO 2"</v>
          </cell>
          <cell r="C524" t="str">
            <v>M</v>
          </cell>
          <cell r="D524">
            <v>7.46</v>
          </cell>
          <cell r="E524">
            <v>0</v>
          </cell>
        </row>
        <row r="525">
          <cell r="A525">
            <v>42508</v>
          </cell>
          <cell r="B525" t="str">
            <v>ELETRODUTO DE PVC RIGIDO 3"</v>
          </cell>
          <cell r="C525" t="str">
            <v>M</v>
          </cell>
          <cell r="D525">
            <v>17.690000000000001</v>
          </cell>
          <cell r="E525">
            <v>0</v>
          </cell>
        </row>
        <row r="526">
          <cell r="A526">
            <v>42509</v>
          </cell>
          <cell r="B526" t="str">
            <v>ELETRODUTO DE PVC RIGIDO 4"</v>
          </cell>
          <cell r="C526" t="str">
            <v>M</v>
          </cell>
          <cell r="D526">
            <v>23.4</v>
          </cell>
          <cell r="E526">
            <v>0</v>
          </cell>
        </row>
        <row r="527">
          <cell r="A527">
            <v>42511</v>
          </cell>
          <cell r="B527" t="str">
            <v>CURVA DE PVC RIGIDO PARA ELETRODUTO DE 3/4"</v>
          </cell>
          <cell r="C527" t="str">
            <v>UN</v>
          </cell>
          <cell r="D527">
            <v>1.71</v>
          </cell>
          <cell r="E527">
            <v>0</v>
          </cell>
        </row>
        <row r="528">
          <cell r="A528">
            <v>42512</v>
          </cell>
          <cell r="B528" t="str">
            <v>CURVA DE PVC RIGIDO PARA ELETRODUTO DE 1"</v>
          </cell>
          <cell r="C528" t="str">
            <v>UN</v>
          </cell>
          <cell r="D528">
            <v>2.5299999999999998</v>
          </cell>
          <cell r="E528">
            <v>0</v>
          </cell>
        </row>
        <row r="529">
          <cell r="A529">
            <v>42515</v>
          </cell>
          <cell r="B529" t="str">
            <v>CURVA DE PVC RIGIDO PARA ELETRODUTO DE 2"</v>
          </cell>
          <cell r="C529" t="str">
            <v>UN</v>
          </cell>
          <cell r="D529">
            <v>6.73</v>
          </cell>
          <cell r="E529">
            <v>0</v>
          </cell>
        </row>
        <row r="530">
          <cell r="A530">
            <v>42517</v>
          </cell>
          <cell r="B530" t="str">
            <v>CURVA DE PVC RIGIDO PARA ELETRODUTO DE 3"</v>
          </cell>
          <cell r="C530" t="str">
            <v>UN</v>
          </cell>
          <cell r="D530">
            <v>18.649999999999999</v>
          </cell>
          <cell r="E530">
            <v>0</v>
          </cell>
        </row>
        <row r="531">
          <cell r="A531">
            <v>42521</v>
          </cell>
          <cell r="B531" t="str">
            <v>LUVA DE PVC RIGIDO PARA ELETRODUTO 3/4"</v>
          </cell>
          <cell r="C531" t="str">
            <v>UN</v>
          </cell>
          <cell r="D531">
            <v>0.79</v>
          </cell>
          <cell r="E531">
            <v>0</v>
          </cell>
        </row>
        <row r="532">
          <cell r="A532">
            <v>42527</v>
          </cell>
          <cell r="B532" t="str">
            <v>LUVA DE PVC PARA ELETRODUTO 3"</v>
          </cell>
          <cell r="C532" t="str">
            <v>UN</v>
          </cell>
          <cell r="D532">
            <v>10.4</v>
          </cell>
          <cell r="E532">
            <v>0</v>
          </cell>
        </row>
        <row r="533">
          <cell r="A533">
            <v>42528</v>
          </cell>
          <cell r="B533" t="str">
            <v>LUVA DE PVC PARA ELETRODUTO 4"</v>
          </cell>
          <cell r="C533" t="str">
            <v>UN</v>
          </cell>
          <cell r="D533">
            <v>19.91</v>
          </cell>
          <cell r="E533">
            <v>0</v>
          </cell>
        </row>
        <row r="534">
          <cell r="A534">
            <v>42529</v>
          </cell>
          <cell r="B534" t="str">
            <v>ELETRODUTO CONDULETE PVC 3/4" APARENTE TIGRE/SIM.</v>
          </cell>
          <cell r="C534" t="str">
            <v>M</v>
          </cell>
          <cell r="D534">
            <v>3.16</v>
          </cell>
          <cell r="E534">
            <v>0</v>
          </cell>
        </row>
        <row r="535">
          <cell r="A535">
            <v>42530</v>
          </cell>
          <cell r="B535" t="str">
            <v>NIPLE PVC PARA ELETRODUTO 3"</v>
          </cell>
          <cell r="C535" t="str">
            <v>UN</v>
          </cell>
          <cell r="D535">
            <v>20.059999999999999</v>
          </cell>
          <cell r="E535">
            <v>0</v>
          </cell>
        </row>
        <row r="536">
          <cell r="A536">
            <v>42535</v>
          </cell>
          <cell r="B536" t="str">
            <v>CANALETA SISTEMA X PIAL LEGRAND OU SIMILAR</v>
          </cell>
          <cell r="C536" t="str">
            <v>M</v>
          </cell>
          <cell r="D536">
            <v>1.62</v>
          </cell>
          <cell r="E536">
            <v>0</v>
          </cell>
        </row>
        <row r="537">
          <cell r="A537">
            <v>42546</v>
          </cell>
          <cell r="B537" t="str">
            <v>ELETRODUTO CONDULETE PVC 1" APARENTE TIGRE E EQUIV</v>
          </cell>
          <cell r="C537" t="str">
            <v>M</v>
          </cell>
          <cell r="D537">
            <v>4.6100000000000003</v>
          </cell>
          <cell r="E537">
            <v>0</v>
          </cell>
        </row>
        <row r="538">
          <cell r="A538">
            <v>42548</v>
          </cell>
          <cell r="B538" t="str">
            <v>ELETRODUTO DE PVC RIGIDO 6"</v>
          </cell>
          <cell r="C538" t="str">
            <v>M</v>
          </cell>
          <cell r="D538">
            <v>69.260000000000005</v>
          </cell>
          <cell r="E538">
            <v>0</v>
          </cell>
        </row>
        <row r="539">
          <cell r="A539">
            <v>42552</v>
          </cell>
          <cell r="B539" t="str">
            <v>ACABAMENTO PARA CANALETA SISTEMA X PIAL - FINA</v>
          </cell>
          <cell r="C539" t="str">
            <v>UN</v>
          </cell>
          <cell r="D539">
            <v>1.24</v>
          </cell>
          <cell r="E539">
            <v>0</v>
          </cell>
        </row>
        <row r="540">
          <cell r="A540">
            <v>42558</v>
          </cell>
          <cell r="B540" t="str">
            <v>CANALETA SISTEMA X PIAL 20X10X2100MM REF. 308 01</v>
          </cell>
          <cell r="C540" t="str">
            <v>UN</v>
          </cell>
          <cell r="D540">
            <v>3.4</v>
          </cell>
          <cell r="E540">
            <v>0</v>
          </cell>
        </row>
        <row r="541">
          <cell r="A541">
            <v>42561</v>
          </cell>
          <cell r="B541" t="str">
            <v>NIPLE P/ ELETRODUTO PVC RIGIDO ROSCAVEL 21/2"</v>
          </cell>
          <cell r="C541" t="str">
            <v>UN</v>
          </cell>
          <cell r="D541">
            <v>14.06</v>
          </cell>
          <cell r="E541">
            <v>0</v>
          </cell>
        </row>
        <row r="542">
          <cell r="A542">
            <v>42565</v>
          </cell>
          <cell r="B542" t="str">
            <v>ELETRODUTO FLEXIVEL CORRUGADO 3/4" PVC TIGREFLEX</v>
          </cell>
          <cell r="C542" t="str">
            <v>M</v>
          </cell>
          <cell r="D542">
            <v>1.68</v>
          </cell>
          <cell r="E542">
            <v>0</v>
          </cell>
        </row>
        <row r="543">
          <cell r="A543">
            <v>42588</v>
          </cell>
          <cell r="B543" t="str">
            <v>ELETRODUTO FLEXIVEL CORRUGADO 1" PVC TIGREFLEX</v>
          </cell>
          <cell r="C543" t="str">
            <v>M</v>
          </cell>
          <cell r="D543">
            <v>2.4300000000000002</v>
          </cell>
          <cell r="E543">
            <v>0</v>
          </cell>
        </row>
        <row r="544">
          <cell r="A544">
            <v>42636</v>
          </cell>
          <cell r="B544" t="str">
            <v>DUTO CORRUGADO DE PEAD COR PRETA 6"</v>
          </cell>
          <cell r="C544" t="str">
            <v>M</v>
          </cell>
          <cell r="D544">
            <v>15.51</v>
          </cell>
          <cell r="E544">
            <v>0</v>
          </cell>
        </row>
        <row r="545">
          <cell r="A545">
            <v>42673</v>
          </cell>
          <cell r="B545" t="str">
            <v>DUTO CORRUGADO DE PEAD COR PRETA 1 1/2"</v>
          </cell>
          <cell r="C545" t="str">
            <v>M</v>
          </cell>
          <cell r="D545">
            <v>2.39</v>
          </cell>
          <cell r="E545">
            <v>0</v>
          </cell>
        </row>
        <row r="546">
          <cell r="A546">
            <v>42674</v>
          </cell>
          <cell r="B546" t="str">
            <v>DUTO CORRUGADO DE PEAD COR PRETA 2"</v>
          </cell>
          <cell r="C546" t="str">
            <v>M</v>
          </cell>
          <cell r="D546">
            <v>3.14</v>
          </cell>
          <cell r="E546">
            <v>0</v>
          </cell>
        </row>
        <row r="547">
          <cell r="A547">
            <v>42690</v>
          </cell>
          <cell r="B547" t="str">
            <v>DUTO CORRUGADO DE PEAD COR PRETA 4"</v>
          </cell>
          <cell r="C547" t="str">
            <v>M</v>
          </cell>
          <cell r="D547">
            <v>6.74</v>
          </cell>
          <cell r="E547">
            <v>0</v>
          </cell>
        </row>
        <row r="548">
          <cell r="A548">
            <v>42701</v>
          </cell>
          <cell r="B548" t="str">
            <v>DUTO CORRUGADO DE PEAD COR PRETA 3"</v>
          </cell>
          <cell r="C548" t="str">
            <v>M</v>
          </cell>
          <cell r="D548">
            <v>4.8499999999999996</v>
          </cell>
          <cell r="E548">
            <v>0</v>
          </cell>
        </row>
        <row r="549">
          <cell r="A549">
            <v>42711</v>
          </cell>
          <cell r="B549" t="str">
            <v>CURVA P/ ELETRODUTO PVC RIGIDO 4"</v>
          </cell>
          <cell r="C549" t="str">
            <v>UN</v>
          </cell>
          <cell r="D549">
            <v>28.59</v>
          </cell>
          <cell r="E549">
            <v>0</v>
          </cell>
        </row>
        <row r="550">
          <cell r="A550">
            <v>42717</v>
          </cell>
          <cell r="B550" t="str">
            <v>DUTO CORRUGADO DE PEAD COR PRETA 1 1/4"</v>
          </cell>
          <cell r="C550" t="str">
            <v>M</v>
          </cell>
          <cell r="D550">
            <v>1.9</v>
          </cell>
          <cell r="E550">
            <v>0</v>
          </cell>
        </row>
        <row r="551">
          <cell r="A551">
            <v>43004</v>
          </cell>
          <cell r="B551" t="str">
            <v>CABO FLEX ISOL. TERMOPLAST. 750V - 1,5 MM2 - 70º</v>
          </cell>
          <cell r="C551" t="str">
            <v>M</v>
          </cell>
          <cell r="D551">
            <v>0.49</v>
          </cell>
          <cell r="E551">
            <v>0</v>
          </cell>
        </row>
        <row r="552">
          <cell r="A552">
            <v>43005</v>
          </cell>
          <cell r="B552" t="str">
            <v>CABO FLEX ISOL. TERMOPLAST. 750V - 2,50 MM2 - 70º</v>
          </cell>
          <cell r="C552" t="str">
            <v>M</v>
          </cell>
          <cell r="D552">
            <v>0.76</v>
          </cell>
          <cell r="E552">
            <v>0</v>
          </cell>
        </row>
        <row r="553">
          <cell r="A553">
            <v>43006</v>
          </cell>
          <cell r="B553" t="str">
            <v>CABO FLEX ISOL. TERMOPLAST. 750V - 4,00 MM2 - 70º</v>
          </cell>
          <cell r="C553" t="str">
            <v>M</v>
          </cell>
          <cell r="D553">
            <v>1.24</v>
          </cell>
          <cell r="E553">
            <v>0</v>
          </cell>
        </row>
        <row r="554">
          <cell r="A554">
            <v>43007</v>
          </cell>
          <cell r="B554" t="str">
            <v>CABO FLEX ISOL. TERMOPLAST. 750V - 6,00 MM2 - 70º</v>
          </cell>
          <cell r="C554" t="str">
            <v>M</v>
          </cell>
          <cell r="D554">
            <v>1.93</v>
          </cell>
          <cell r="E554">
            <v>0</v>
          </cell>
        </row>
        <row r="555">
          <cell r="A555">
            <v>43009</v>
          </cell>
          <cell r="B555" t="str">
            <v>CABO FLEX ISOL. TERMOPLAST. 0,6/1KV - 95MM2 - 70º</v>
          </cell>
          <cell r="C555" t="str">
            <v>M</v>
          </cell>
          <cell r="D555">
            <v>33.78</v>
          </cell>
          <cell r="E555">
            <v>0</v>
          </cell>
        </row>
        <row r="556">
          <cell r="A556">
            <v>43015</v>
          </cell>
          <cell r="B556" t="str">
            <v>CABO FLEX ISOL. TERMOPLAST. 750V - 16MM2 - 70º</v>
          </cell>
          <cell r="C556" t="str">
            <v>M</v>
          </cell>
          <cell r="D556">
            <v>5.27</v>
          </cell>
          <cell r="E556">
            <v>0</v>
          </cell>
        </row>
        <row r="557">
          <cell r="A557">
            <v>43016</v>
          </cell>
          <cell r="B557" t="str">
            <v>CABO FLEX ISOL. TERMOPLAST. 750V - 25MM2 - 70º</v>
          </cell>
          <cell r="C557" t="str">
            <v>M</v>
          </cell>
          <cell r="D557">
            <v>7.99</v>
          </cell>
          <cell r="E557">
            <v>0</v>
          </cell>
        </row>
        <row r="558">
          <cell r="A558">
            <v>43023</v>
          </cell>
          <cell r="B558" t="str">
            <v>CABO FLEX ISOL. TERMOPLAST. 0,6/1KV - 185MM2 - 70º</v>
          </cell>
          <cell r="C558" t="str">
            <v>M</v>
          </cell>
          <cell r="D558">
            <v>66.77</v>
          </cell>
          <cell r="E558">
            <v>0</v>
          </cell>
        </row>
        <row r="559">
          <cell r="A559">
            <v>43030</v>
          </cell>
          <cell r="B559" t="str">
            <v>CABO PP FLEX ISOL. PVC 750V - 2 X 2.5 MM2</v>
          </cell>
          <cell r="C559" t="str">
            <v>M</v>
          </cell>
          <cell r="D559">
            <v>2.2400000000000002</v>
          </cell>
          <cell r="E559">
            <v>0</v>
          </cell>
        </row>
        <row r="560">
          <cell r="A560">
            <v>43035</v>
          </cell>
          <cell r="B560" t="str">
            <v>CABO DE COBRE NU TEMPERA MEIO DURA 4.00 MM2</v>
          </cell>
          <cell r="C560" t="str">
            <v>M</v>
          </cell>
          <cell r="D560">
            <v>1.9</v>
          </cell>
          <cell r="E560">
            <v>0</v>
          </cell>
        </row>
        <row r="561">
          <cell r="A561">
            <v>43036</v>
          </cell>
          <cell r="B561" t="str">
            <v>CABO DE COBRE NU TEMPERA MEIO DURA 6MM2</v>
          </cell>
          <cell r="C561" t="str">
            <v>M</v>
          </cell>
          <cell r="D561">
            <v>2.58</v>
          </cell>
          <cell r="E561">
            <v>0</v>
          </cell>
        </row>
        <row r="562">
          <cell r="A562">
            <v>43038</v>
          </cell>
          <cell r="B562" t="str">
            <v>CABO DE COBRE NU TEMPERA MEIO DURA 16 MM2</v>
          </cell>
          <cell r="C562" t="str">
            <v>M</v>
          </cell>
          <cell r="D562">
            <v>5.79</v>
          </cell>
          <cell r="E562">
            <v>0</v>
          </cell>
        </row>
        <row r="563">
          <cell r="A563">
            <v>43039</v>
          </cell>
          <cell r="B563" t="str">
            <v>CABO DE COBRE NU TEMPERA MEIO DURA 10 MM2</v>
          </cell>
          <cell r="C563" t="str">
            <v>M</v>
          </cell>
          <cell r="D563">
            <v>4.0199999999999996</v>
          </cell>
          <cell r="E563">
            <v>0</v>
          </cell>
        </row>
        <row r="564">
          <cell r="A564">
            <v>43040</v>
          </cell>
          <cell r="B564" t="str">
            <v>CABO COBRE NU TEMPERA MEIO DURA 25MM2</v>
          </cell>
          <cell r="C564" t="str">
            <v>M</v>
          </cell>
          <cell r="D564">
            <v>8.27</v>
          </cell>
          <cell r="E564">
            <v>0</v>
          </cell>
        </row>
        <row r="565">
          <cell r="A565">
            <v>43041</v>
          </cell>
          <cell r="B565" t="str">
            <v>CABO COBRE NU TEMPERA MEIO DURA 35MM2</v>
          </cell>
          <cell r="C565" t="str">
            <v>M</v>
          </cell>
          <cell r="D565">
            <v>12.26</v>
          </cell>
          <cell r="E565">
            <v>0</v>
          </cell>
        </row>
        <row r="566">
          <cell r="A566">
            <v>43044</v>
          </cell>
          <cell r="B566" t="str">
            <v>CABO COBRE NU TEMPERA MEIO DURA 50MM2</v>
          </cell>
          <cell r="C566" t="str">
            <v>M</v>
          </cell>
          <cell r="D566">
            <v>16.23</v>
          </cell>
          <cell r="E566">
            <v>0</v>
          </cell>
        </row>
        <row r="567">
          <cell r="A567">
            <v>43050</v>
          </cell>
          <cell r="B567" t="str">
            <v>FIO PARA TELEFONE FI 2 X 22 ESTANHO</v>
          </cell>
          <cell r="C567" t="str">
            <v>M</v>
          </cell>
          <cell r="D567">
            <v>0.38</v>
          </cell>
          <cell r="E567">
            <v>0</v>
          </cell>
        </row>
        <row r="568">
          <cell r="A568">
            <v>43054</v>
          </cell>
          <cell r="B568" t="str">
            <v>CABO SINTENAX ANTIFLAM 0.6/1KV 70MM2 PIRELLI/SIM.</v>
          </cell>
          <cell r="C568" t="str">
            <v>M</v>
          </cell>
          <cell r="D568">
            <v>25.02</v>
          </cell>
          <cell r="E568">
            <v>0</v>
          </cell>
        </row>
        <row r="569">
          <cell r="A569">
            <v>43055</v>
          </cell>
          <cell r="B569" t="str">
            <v>CABO PARA TELEFONE CI 50X30</v>
          </cell>
          <cell r="C569" t="str">
            <v>M</v>
          </cell>
          <cell r="D569">
            <v>8.56</v>
          </cell>
          <cell r="E569">
            <v>0</v>
          </cell>
        </row>
        <row r="570">
          <cell r="A570">
            <v>43059</v>
          </cell>
          <cell r="B570" t="str">
            <v>CABO FLEX ISOL. TERMOPLAST. 0,6/1KV - 16MM2 - 70º</v>
          </cell>
          <cell r="C570" t="str">
            <v>M</v>
          </cell>
          <cell r="D570">
            <v>5.65</v>
          </cell>
          <cell r="E570">
            <v>0</v>
          </cell>
        </row>
        <row r="571">
          <cell r="A571">
            <v>43110</v>
          </cell>
          <cell r="B571" t="str">
            <v>CABO PARALELO BICOLOR 1.00 MM2 (P/SOM)</v>
          </cell>
          <cell r="C571" t="str">
            <v>M</v>
          </cell>
          <cell r="D571">
            <v>1.04</v>
          </cell>
          <cell r="E571">
            <v>0</v>
          </cell>
        </row>
        <row r="572">
          <cell r="A572">
            <v>43113</v>
          </cell>
          <cell r="B572" t="str">
            <v>CABO COBRE UNIPOLAR 25 MM2 ISOLAMENTO 15KV</v>
          </cell>
          <cell r="C572" t="str">
            <v>M</v>
          </cell>
          <cell r="D572">
            <v>22.86</v>
          </cell>
          <cell r="E572">
            <v>0</v>
          </cell>
        </row>
        <row r="573">
          <cell r="A573">
            <v>43115</v>
          </cell>
          <cell r="B573" t="str">
            <v>CABO LOGICO 4 PARES 24 AWG TIPO MULTI-LAN PLUS</v>
          </cell>
          <cell r="C573" t="str">
            <v>M</v>
          </cell>
          <cell r="D573">
            <v>1.33</v>
          </cell>
          <cell r="E573">
            <v>0</v>
          </cell>
        </row>
        <row r="574">
          <cell r="A574">
            <v>43127</v>
          </cell>
          <cell r="B574" t="str">
            <v>CABO UTP 4 PARES CAT 5E</v>
          </cell>
          <cell r="C574" t="str">
            <v>M</v>
          </cell>
          <cell r="D574">
            <v>1</v>
          </cell>
          <cell r="E574">
            <v>0</v>
          </cell>
        </row>
        <row r="575">
          <cell r="A575">
            <v>43137</v>
          </cell>
          <cell r="B575" t="str">
            <v>CABO FLEX ISOL. TERMOPLAST. 0,6/1KV - 70MM2 - 70º</v>
          </cell>
          <cell r="C575" t="str">
            <v>M</v>
          </cell>
          <cell r="D575">
            <v>24.82</v>
          </cell>
          <cell r="E575">
            <v>0</v>
          </cell>
        </row>
        <row r="576">
          <cell r="A576">
            <v>43149</v>
          </cell>
          <cell r="B576" t="str">
            <v>CABO ISOLADO 750V - 4 X 4.0MM2</v>
          </cell>
          <cell r="C576" t="str">
            <v>M</v>
          </cell>
          <cell r="D576">
            <v>6.28</v>
          </cell>
          <cell r="E576">
            <v>0</v>
          </cell>
        </row>
        <row r="577">
          <cell r="A577">
            <v>43150</v>
          </cell>
          <cell r="B577" t="str">
            <v>CABO ISOLADO PVC - 4 X 16.0MM2</v>
          </cell>
          <cell r="C577" t="str">
            <v>M</v>
          </cell>
          <cell r="D577">
            <v>23.91</v>
          </cell>
          <cell r="E577">
            <v>0</v>
          </cell>
        </row>
        <row r="578">
          <cell r="A578">
            <v>43160</v>
          </cell>
          <cell r="B578" t="str">
            <v>CABO FLEX ISOL. TERMOPLAST. 0,6/1KV - 25MM2 - 70º</v>
          </cell>
          <cell r="C578" t="str">
            <v>M</v>
          </cell>
          <cell r="D578">
            <v>8.41</v>
          </cell>
          <cell r="E578">
            <v>0</v>
          </cell>
        </row>
        <row r="579">
          <cell r="A579">
            <v>43174</v>
          </cell>
          <cell r="B579" t="str">
            <v>CABO FLEX ISOL. TERMOPLAST. 0,6/1KV - 35MM2 - 70º</v>
          </cell>
          <cell r="C579" t="str">
            <v>M</v>
          </cell>
          <cell r="D579">
            <v>11.24</v>
          </cell>
          <cell r="E579">
            <v>0</v>
          </cell>
        </row>
        <row r="580">
          <cell r="A580">
            <v>43175</v>
          </cell>
          <cell r="B580" t="str">
            <v>CABO FLEX ISOL. TERMOPLAST. 0,6/1KV - 6,0MM2 - 70º</v>
          </cell>
          <cell r="C580" t="str">
            <v>M</v>
          </cell>
          <cell r="D580">
            <v>2.66</v>
          </cell>
          <cell r="E580">
            <v>0</v>
          </cell>
        </row>
        <row r="581">
          <cell r="A581">
            <v>43180</v>
          </cell>
          <cell r="B581" t="str">
            <v>CABO FLEX ISOL. TERMOPLAST. 0,6/1KV - 10MM2 - 70º</v>
          </cell>
          <cell r="C581" t="str">
            <v>M</v>
          </cell>
          <cell r="D581">
            <v>4.0999999999999996</v>
          </cell>
          <cell r="E581">
            <v>0</v>
          </cell>
        </row>
        <row r="582">
          <cell r="A582">
            <v>43190</v>
          </cell>
          <cell r="B582" t="str">
            <v>CABO FLEX ISOL. TERMOPLAST. 0,6/1KV - 50MM2 - 70º</v>
          </cell>
          <cell r="C582" t="str">
            <v>M</v>
          </cell>
          <cell r="D582">
            <v>17.34</v>
          </cell>
          <cell r="E582">
            <v>0</v>
          </cell>
        </row>
        <row r="583">
          <cell r="A583">
            <v>43193</v>
          </cell>
          <cell r="B583" t="str">
            <v>CABO FLEX ISOL. TERMOPLAST. 750V - 10MM2 - 70º</v>
          </cell>
          <cell r="C583" t="str">
            <v>M</v>
          </cell>
          <cell r="D583">
            <v>3.37</v>
          </cell>
          <cell r="E583">
            <v>0</v>
          </cell>
        </row>
        <row r="584">
          <cell r="A584">
            <v>43194</v>
          </cell>
          <cell r="B584" t="str">
            <v>CABO FLEX ISOL. TERMOPLAST. 0,6/1KV - 240MM2 - 70º</v>
          </cell>
          <cell r="C584" t="str">
            <v>M</v>
          </cell>
          <cell r="D584">
            <v>86.66</v>
          </cell>
          <cell r="E584">
            <v>0</v>
          </cell>
        </row>
        <row r="585">
          <cell r="A585">
            <v>43199</v>
          </cell>
          <cell r="B585" t="str">
            <v>CABO FLEX ISOL. TERMOPLAST. 0,6/1KV - 150MM2 - 70º</v>
          </cell>
          <cell r="C585" t="str">
            <v>M</v>
          </cell>
          <cell r="D585">
            <v>56.1</v>
          </cell>
          <cell r="E585">
            <v>0</v>
          </cell>
        </row>
        <row r="586">
          <cell r="A586">
            <v>43204</v>
          </cell>
          <cell r="B586" t="str">
            <v>CABO DE COBRE UNIPOLAR 35 MM2 COM ISOLAMENTO 15KV</v>
          </cell>
          <cell r="C586" t="str">
            <v>M</v>
          </cell>
          <cell r="D586">
            <v>28.54</v>
          </cell>
          <cell r="E586">
            <v>0</v>
          </cell>
        </row>
        <row r="587">
          <cell r="A587">
            <v>43205</v>
          </cell>
          <cell r="B587" t="str">
            <v>CABO FLEX ISOL. TERMOPLAST. 0,6/1KV - 2,5MM2 - 70º</v>
          </cell>
          <cell r="C587" t="str">
            <v>M</v>
          </cell>
          <cell r="D587">
            <v>1.24</v>
          </cell>
          <cell r="E587">
            <v>0</v>
          </cell>
        </row>
        <row r="588">
          <cell r="A588">
            <v>43206</v>
          </cell>
          <cell r="B588" t="str">
            <v>CABO FLEX ISOL. TERMOPLAST. 0,6/1KV - 4,0MM2 - 70º</v>
          </cell>
          <cell r="C588" t="str">
            <v>M</v>
          </cell>
          <cell r="D588">
            <v>1.93</v>
          </cell>
          <cell r="E588">
            <v>0</v>
          </cell>
        </row>
        <row r="589">
          <cell r="A589">
            <v>43236</v>
          </cell>
          <cell r="B589" t="str">
            <v>CABO FLEX ISOL. TERMOPLAST. 0,6/1KV - 120MM2 - 70º</v>
          </cell>
          <cell r="C589" t="str">
            <v>M</v>
          </cell>
          <cell r="D589">
            <v>44.14</v>
          </cell>
          <cell r="E589">
            <v>0</v>
          </cell>
        </row>
        <row r="590">
          <cell r="A590">
            <v>43243</v>
          </cell>
          <cell r="B590" t="str">
            <v>FIO DE COBRE RECOZIDO Nº 6 P/ AMARRAÇÃO</v>
          </cell>
          <cell r="C590" t="str">
            <v>KG</v>
          </cell>
          <cell r="D590">
            <v>30.51</v>
          </cell>
          <cell r="E590">
            <v>0</v>
          </cell>
        </row>
        <row r="591">
          <cell r="A591">
            <v>43253</v>
          </cell>
          <cell r="B591" t="str">
            <v>CABO FLEX ISOL. TERMOPLAST. 0,6/1KV - 300MM2 - 70º</v>
          </cell>
          <cell r="C591" t="str">
            <v>M</v>
          </cell>
          <cell r="D591">
            <v>107.63</v>
          </cell>
          <cell r="E591">
            <v>0</v>
          </cell>
        </row>
        <row r="592">
          <cell r="A592">
            <v>43262</v>
          </cell>
          <cell r="B592" t="str">
            <v>CABO PP ISOLAMENTO 750V, 3 X 2,5MM2</v>
          </cell>
          <cell r="C592" t="str">
            <v>M</v>
          </cell>
          <cell r="D592">
            <v>3.31</v>
          </cell>
          <cell r="E592">
            <v>0</v>
          </cell>
        </row>
        <row r="593">
          <cell r="A593">
            <v>43337</v>
          </cell>
          <cell r="B593" t="str">
            <v>CABO PP ISOLAMENTO 750 V, 3 X 4.0 MM2</v>
          </cell>
          <cell r="C593" t="str">
            <v>M</v>
          </cell>
          <cell r="D593">
            <v>4.93</v>
          </cell>
          <cell r="E593">
            <v>0</v>
          </cell>
        </row>
        <row r="594">
          <cell r="A594">
            <v>43441</v>
          </cell>
          <cell r="B594" t="str">
            <v>CABO COAXIAL P/ TV 67 OHMS</v>
          </cell>
          <cell r="C594" t="str">
            <v>M</v>
          </cell>
          <cell r="D594">
            <v>1.1200000000000001</v>
          </cell>
          <cell r="E594">
            <v>0</v>
          </cell>
        </row>
        <row r="595">
          <cell r="A595">
            <v>43540</v>
          </cell>
          <cell r="B595" t="str">
            <v>CHAVE BLINDADA 600V 160A C/ TERMINAIS P/CABO 70MM2</v>
          </cell>
          <cell r="C595" t="str">
            <v>UN</v>
          </cell>
          <cell r="D595">
            <v>1398.65</v>
          </cell>
          <cell r="E595">
            <v>0</v>
          </cell>
        </row>
        <row r="596">
          <cell r="A596">
            <v>43580</v>
          </cell>
          <cell r="B596" t="str">
            <v>CHAVE TRIPOLAR BLINDADA 600V/160A FUSIVEL NH 125 A</v>
          </cell>
          <cell r="C596" t="str">
            <v>UN</v>
          </cell>
          <cell r="D596">
            <v>1394.97</v>
          </cell>
          <cell r="E596">
            <v>0</v>
          </cell>
        </row>
        <row r="597">
          <cell r="A597">
            <v>43585</v>
          </cell>
          <cell r="B597" t="str">
            <v>CHAVE BLINDADA TRIPOLAR 600V/200A</v>
          </cell>
          <cell r="C597" t="str">
            <v>UN</v>
          </cell>
          <cell r="D597">
            <v>1394.34</v>
          </cell>
          <cell r="E597">
            <v>0</v>
          </cell>
        </row>
        <row r="598">
          <cell r="A598">
            <v>43587</v>
          </cell>
          <cell r="B598" t="str">
            <v>CHAVE BLINDADA TRIPOLAR 600V/400A</v>
          </cell>
          <cell r="C598" t="str">
            <v>UN</v>
          </cell>
          <cell r="D598">
            <v>1898.22</v>
          </cell>
          <cell r="E598">
            <v>0</v>
          </cell>
        </row>
        <row r="599">
          <cell r="A599">
            <v>43591</v>
          </cell>
          <cell r="B599" t="str">
            <v>CHAVE TRIPOLAR BLINDADA 600V/400A-FUSIVEL NH 350A</v>
          </cell>
          <cell r="C599" t="str">
            <v>UN</v>
          </cell>
          <cell r="D599">
            <v>1979.39</v>
          </cell>
          <cell r="E599">
            <v>0</v>
          </cell>
        </row>
        <row r="600">
          <cell r="A600">
            <v>43593</v>
          </cell>
          <cell r="B600" t="str">
            <v>CHAVE BLINDADA TRIPOLAR 600V-300A C/3 FU-NH 250A</v>
          </cell>
          <cell r="C600" t="str">
            <v>UN</v>
          </cell>
          <cell r="D600">
            <v>2049.42</v>
          </cell>
          <cell r="E600">
            <v>0</v>
          </cell>
        </row>
        <row r="601">
          <cell r="A601">
            <v>43594</v>
          </cell>
          <cell r="B601" t="str">
            <v>CHAVE BLINDADA TRIPOLAR 600V-125A C/3 FU-NH 100A</v>
          </cell>
          <cell r="C601" t="str">
            <v>UN</v>
          </cell>
          <cell r="D601">
            <v>866.47</v>
          </cell>
          <cell r="E601">
            <v>0</v>
          </cell>
        </row>
        <row r="602">
          <cell r="A602">
            <v>43620</v>
          </cell>
          <cell r="B602" t="str">
            <v>CHAVE MAGNETICA TRIPOLAR 25A</v>
          </cell>
          <cell r="C602" t="str">
            <v>UN</v>
          </cell>
          <cell r="D602">
            <v>179.16</v>
          </cell>
          <cell r="E602">
            <v>0</v>
          </cell>
        </row>
        <row r="603">
          <cell r="A603">
            <v>43627</v>
          </cell>
          <cell r="B603" t="str">
            <v>CHAVE BLINDADA TRIPOLAR 600V/125A</v>
          </cell>
          <cell r="C603" t="str">
            <v>UN</v>
          </cell>
          <cell r="D603">
            <v>612.75</v>
          </cell>
          <cell r="E603">
            <v>0</v>
          </cell>
        </row>
        <row r="604">
          <cell r="A604">
            <v>43648</v>
          </cell>
          <cell r="B604" t="str">
            <v>CHAVE BLINDADA TRIPOLAR 800A C/FUSIVEL NH 2X300 A</v>
          </cell>
          <cell r="C604" t="str">
            <v>UN</v>
          </cell>
          <cell r="D604">
            <v>4235.37</v>
          </cell>
          <cell r="E604">
            <v>0</v>
          </cell>
        </row>
        <row r="605">
          <cell r="A605">
            <v>43657</v>
          </cell>
          <cell r="B605" t="str">
            <v>CHAVE BLINDADA TRIPOLAR 600V/800A</v>
          </cell>
          <cell r="C605" t="str">
            <v>UN</v>
          </cell>
          <cell r="D605">
            <v>3716.22</v>
          </cell>
          <cell r="E605">
            <v>0</v>
          </cell>
        </row>
        <row r="606">
          <cell r="A606">
            <v>43702</v>
          </cell>
          <cell r="B606" t="str">
            <v>PRENSA CABOS PARA ELETRODUTO 3/4"</v>
          </cell>
          <cell r="C606" t="str">
            <v>UN</v>
          </cell>
          <cell r="D606">
            <v>3.59</v>
          </cell>
          <cell r="E606">
            <v>0</v>
          </cell>
        </row>
        <row r="607">
          <cell r="A607">
            <v>43792</v>
          </cell>
          <cell r="B607" t="str">
            <v>JUNCAO SIMPLES PARA ELETROCALHA 300X100</v>
          </cell>
          <cell r="C607" t="str">
            <v>UN</v>
          </cell>
          <cell r="D607">
            <v>1.93</v>
          </cell>
          <cell r="E607">
            <v>0</v>
          </cell>
        </row>
        <row r="608">
          <cell r="A608">
            <v>43795</v>
          </cell>
          <cell r="B608" t="str">
            <v>JUNCAO SIMPLES P/ ELETROCALHA 200X100 MM</v>
          </cell>
          <cell r="C608" t="str">
            <v>UN</v>
          </cell>
          <cell r="D608">
            <v>1.62</v>
          </cell>
          <cell r="E608">
            <v>0</v>
          </cell>
        </row>
        <row r="609">
          <cell r="A609">
            <v>43807</v>
          </cell>
          <cell r="B609" t="str">
            <v>QUADRO DISTR.TRIF.-QDETG UX 34MÓD(2X17)-150A-CEMAR</v>
          </cell>
          <cell r="C609" t="str">
            <v>UN</v>
          </cell>
          <cell r="D609">
            <v>432.49</v>
          </cell>
          <cell r="E609">
            <v>0</v>
          </cell>
        </row>
        <row r="610">
          <cell r="A610">
            <v>43835</v>
          </cell>
          <cell r="B610" t="str">
            <v>CONJ CX MEDIDOR MONOF P-980-009+CX DISJ P-940-003</v>
          </cell>
          <cell r="C610" t="str">
            <v>UN</v>
          </cell>
          <cell r="D610">
            <v>32.18</v>
          </cell>
          <cell r="E610">
            <v>0</v>
          </cell>
        </row>
        <row r="611">
          <cell r="A611">
            <v>43836</v>
          </cell>
          <cell r="B611" t="str">
            <v>CAIXA MED POLIF P-980-009 CARGA ATE 41000W ESCELSA (CJ)</v>
          </cell>
          <cell r="C611" t="str">
            <v>UN</v>
          </cell>
          <cell r="D611">
            <v>68.5</v>
          </cell>
          <cell r="E611">
            <v>0</v>
          </cell>
        </row>
        <row r="612">
          <cell r="A612">
            <v>43837</v>
          </cell>
          <cell r="B612" t="str">
            <v>CAIXA MED POLIF P-980-009 CARGA- 41000A57000W ESCE (CJ)</v>
          </cell>
          <cell r="C612" t="str">
            <v>UN</v>
          </cell>
          <cell r="D612">
            <v>230.04</v>
          </cell>
          <cell r="E612">
            <v>0</v>
          </cell>
        </row>
        <row r="613">
          <cell r="A613">
            <v>43838</v>
          </cell>
          <cell r="B613" t="str">
            <v>CAIXA MED POLIF P-980-010 CARGA-57000A75000W ESCE (CJ)</v>
          </cell>
          <cell r="C613" t="str">
            <v>UN</v>
          </cell>
          <cell r="D613">
            <v>307.88</v>
          </cell>
          <cell r="E613">
            <v>0</v>
          </cell>
        </row>
        <row r="614">
          <cell r="A614">
            <v>44014</v>
          </cell>
          <cell r="B614" t="str">
            <v>FUSIVEL NH - 01 RETARDADO, IN=100A</v>
          </cell>
          <cell r="C614" t="str">
            <v>UN</v>
          </cell>
          <cell r="D614">
            <v>20</v>
          </cell>
          <cell r="E614">
            <v>0</v>
          </cell>
        </row>
        <row r="615">
          <cell r="A615">
            <v>44015</v>
          </cell>
          <cell r="B615" t="str">
            <v>FUSIVEL NH 00 - 125A</v>
          </cell>
          <cell r="C615" t="str">
            <v>UN</v>
          </cell>
          <cell r="D615">
            <v>13.58</v>
          </cell>
          <cell r="E615">
            <v>0</v>
          </cell>
        </row>
        <row r="616">
          <cell r="A616">
            <v>44034</v>
          </cell>
          <cell r="B616" t="str">
            <v>FUSIVEL NH - 01 RETARDADO, IN=160A</v>
          </cell>
          <cell r="C616" t="str">
            <v>UN</v>
          </cell>
          <cell r="D616">
            <v>21.24</v>
          </cell>
          <cell r="E616">
            <v>0</v>
          </cell>
        </row>
        <row r="617">
          <cell r="A617">
            <v>44059</v>
          </cell>
          <cell r="B617" t="str">
            <v>FUSIVEL NH 01 RETARDADO IN 125 A</v>
          </cell>
          <cell r="C617" t="str">
            <v>UN</v>
          </cell>
          <cell r="D617">
            <v>21.24</v>
          </cell>
          <cell r="E617">
            <v>0</v>
          </cell>
        </row>
        <row r="618">
          <cell r="A618">
            <v>44097</v>
          </cell>
          <cell r="B618" t="str">
            <v>FUSÍVEL NH-02 RETARDADO, IN=300A</v>
          </cell>
          <cell r="C618" t="str">
            <v>UN</v>
          </cell>
          <cell r="D618">
            <v>28.37</v>
          </cell>
          <cell r="E618">
            <v>0</v>
          </cell>
        </row>
        <row r="619">
          <cell r="A619">
            <v>44112</v>
          </cell>
          <cell r="B619" t="str">
            <v>FUSÍVEL NH-02 RETARDADO, IN=250A</v>
          </cell>
          <cell r="C619" t="str">
            <v>UN</v>
          </cell>
          <cell r="D619">
            <v>28.37</v>
          </cell>
          <cell r="E619">
            <v>0</v>
          </cell>
        </row>
        <row r="620">
          <cell r="A620">
            <v>44128</v>
          </cell>
          <cell r="B620" t="str">
            <v>FUSÍVEL NH-02 RETARDADO, IN=355A</v>
          </cell>
          <cell r="C620" t="str">
            <v>UN</v>
          </cell>
          <cell r="D620">
            <v>28.37</v>
          </cell>
          <cell r="E620">
            <v>0</v>
          </cell>
        </row>
        <row r="621">
          <cell r="A621">
            <v>44439</v>
          </cell>
          <cell r="B621" t="str">
            <v>DISJUNTOR TERMOMAG.TIPO TED,3POLOS,400A,GE/EQUIV</v>
          </cell>
          <cell r="C621" t="str">
            <v>UN</v>
          </cell>
          <cell r="D621">
            <v>1484.64</v>
          </cell>
          <cell r="E621">
            <v>0</v>
          </cell>
        </row>
        <row r="622">
          <cell r="A622">
            <v>44455</v>
          </cell>
          <cell r="B622" t="str">
            <v>DISJ TERMOMAG TRIP CX MOLD 200A 25KA 480/600VCA</v>
          </cell>
          <cell r="C622" t="str">
            <v>UN</v>
          </cell>
          <cell r="D622">
            <v>291.20999999999998</v>
          </cell>
          <cell r="E622">
            <v>0</v>
          </cell>
        </row>
        <row r="623">
          <cell r="A623">
            <v>44505</v>
          </cell>
          <cell r="B623" t="str">
            <v>DISJUNTOR NORMA NEMA MONOPOLAR 10A</v>
          </cell>
          <cell r="C623" t="str">
            <v>UN</v>
          </cell>
          <cell r="D623">
            <v>7.84</v>
          </cell>
          <cell r="E623">
            <v>0</v>
          </cell>
        </row>
        <row r="624">
          <cell r="A624">
            <v>44508</v>
          </cell>
          <cell r="B624" t="str">
            <v>DISJUNTOR NORMA NEMA MONOPOLAR 25A</v>
          </cell>
          <cell r="C624" t="str">
            <v>UN</v>
          </cell>
          <cell r="D624">
            <v>7.84</v>
          </cell>
          <cell r="E624">
            <v>0</v>
          </cell>
        </row>
        <row r="625">
          <cell r="A625">
            <v>44530</v>
          </cell>
          <cell r="B625" t="str">
            <v>DISJUNTOR NORMA NEMA TRIPOLAR 25A</v>
          </cell>
          <cell r="C625" t="str">
            <v>UN</v>
          </cell>
          <cell r="D625">
            <v>53.2</v>
          </cell>
          <cell r="E625">
            <v>0</v>
          </cell>
        </row>
        <row r="626">
          <cell r="A626">
            <v>44552</v>
          </cell>
          <cell r="B626" t="str">
            <v>DISJUNTOR NORMA NEMA MONOPOLAR 15A</v>
          </cell>
          <cell r="C626" t="str">
            <v>UN</v>
          </cell>
          <cell r="D626">
            <v>7.84</v>
          </cell>
          <cell r="E626">
            <v>0</v>
          </cell>
        </row>
        <row r="627">
          <cell r="A627">
            <v>44555</v>
          </cell>
          <cell r="B627" t="str">
            <v>DISJUNTOR NORMA NEMA BIPOLAR 70A</v>
          </cell>
          <cell r="C627" t="str">
            <v>UN</v>
          </cell>
          <cell r="D627">
            <v>55.56</v>
          </cell>
          <cell r="E627">
            <v>0</v>
          </cell>
        </row>
        <row r="628">
          <cell r="A628">
            <v>44556</v>
          </cell>
          <cell r="B628" t="str">
            <v>DISJUNTOR NORMA NEMA TRIPOLAR 70A</v>
          </cell>
          <cell r="C628" t="str">
            <v>UN</v>
          </cell>
          <cell r="D628">
            <v>78.709999999999994</v>
          </cell>
          <cell r="E628">
            <v>0</v>
          </cell>
        </row>
        <row r="629">
          <cell r="A629">
            <v>44561</v>
          </cell>
          <cell r="B629" t="str">
            <v>MINI DISJUNTOR TRIPOLAR 100A CURVA C 15KA 220/127V</v>
          </cell>
          <cell r="C629" t="str">
            <v>UN</v>
          </cell>
          <cell r="D629">
            <v>115.49</v>
          </cell>
          <cell r="E629">
            <v>0</v>
          </cell>
        </row>
        <row r="630">
          <cell r="A630">
            <v>44562</v>
          </cell>
          <cell r="B630" t="str">
            <v>DISJUNTOR TERMOMAGNETICO TRIPOLAR 90A</v>
          </cell>
          <cell r="C630" t="str">
            <v>UN</v>
          </cell>
          <cell r="D630">
            <v>78.239999999999995</v>
          </cell>
          <cell r="E630">
            <v>0</v>
          </cell>
        </row>
        <row r="631">
          <cell r="A631">
            <v>44572</v>
          </cell>
          <cell r="B631" t="str">
            <v>DISJUNTOR NORMA NEMA TRIPOLAR 100A</v>
          </cell>
          <cell r="C631" t="str">
            <v>UN</v>
          </cell>
          <cell r="D631">
            <v>81.400000000000006</v>
          </cell>
          <cell r="E631">
            <v>0</v>
          </cell>
        </row>
        <row r="632">
          <cell r="A632">
            <v>44575</v>
          </cell>
          <cell r="B632" t="str">
            <v>DISJUNTOR NORMA NEMA TRIPOLAR 30A</v>
          </cell>
          <cell r="C632" t="str">
            <v>UN</v>
          </cell>
          <cell r="D632">
            <v>53.2</v>
          </cell>
          <cell r="E632">
            <v>0</v>
          </cell>
        </row>
        <row r="633">
          <cell r="A633">
            <v>44582</v>
          </cell>
          <cell r="B633" t="str">
            <v>DISJUNTOR CX MOLDADA TERMOMAG.125A</v>
          </cell>
          <cell r="C633" t="str">
            <v>UN</v>
          </cell>
          <cell r="D633">
            <v>240.59</v>
          </cell>
          <cell r="E633">
            <v>0</v>
          </cell>
        </row>
        <row r="634">
          <cell r="A634">
            <v>44618</v>
          </cell>
          <cell r="B634" t="str">
            <v>DISJUNTOR NORMA NEMA TRIPOLAR 35A</v>
          </cell>
          <cell r="C634" t="str">
            <v>UN</v>
          </cell>
          <cell r="D634">
            <v>53.2</v>
          </cell>
          <cell r="E634">
            <v>0</v>
          </cell>
        </row>
        <row r="635">
          <cell r="A635">
            <v>44659</v>
          </cell>
          <cell r="B635" t="str">
            <v>MINI DISJUNTOR MONOPOLAR 16A CURVA C 5KA 220/127V</v>
          </cell>
          <cell r="C635" t="str">
            <v>UN</v>
          </cell>
          <cell r="D635">
            <v>4.7300000000000004</v>
          </cell>
          <cell r="E635">
            <v>0</v>
          </cell>
        </row>
        <row r="636">
          <cell r="A636">
            <v>44660</v>
          </cell>
          <cell r="B636" t="str">
            <v>MINI DISJUNTOR MONOPOLAR 20A CURVA C 5KA 220/127V</v>
          </cell>
          <cell r="C636" t="str">
            <v>UN</v>
          </cell>
          <cell r="D636">
            <v>4.7300000000000004</v>
          </cell>
          <cell r="E636">
            <v>0</v>
          </cell>
        </row>
        <row r="637">
          <cell r="A637">
            <v>44661</v>
          </cell>
          <cell r="B637" t="str">
            <v>MINI DISJUNTOR MONOPOLAR 25A CURVA C 5KA 220/127V</v>
          </cell>
          <cell r="C637" t="str">
            <v>UN</v>
          </cell>
          <cell r="D637">
            <v>4.7300000000000004</v>
          </cell>
          <cell r="E637">
            <v>0</v>
          </cell>
        </row>
        <row r="638">
          <cell r="A638">
            <v>44662</v>
          </cell>
          <cell r="B638" t="str">
            <v>MINI DISJUNTOR MONOPOLAR 32A CURVA C 5KA 220/127V</v>
          </cell>
          <cell r="C638" t="str">
            <v>UN</v>
          </cell>
          <cell r="D638">
            <v>4.7300000000000004</v>
          </cell>
          <cell r="E638">
            <v>0</v>
          </cell>
        </row>
        <row r="639">
          <cell r="A639">
            <v>44663</v>
          </cell>
          <cell r="B639" t="str">
            <v>MINI DISJUNTOR MONOPOLAR 40A CURVA C 5KA 220/127V</v>
          </cell>
          <cell r="C639" t="str">
            <v>UN</v>
          </cell>
          <cell r="D639">
            <v>6.47</v>
          </cell>
          <cell r="E639">
            <v>0</v>
          </cell>
        </row>
        <row r="640">
          <cell r="A640">
            <v>44664</v>
          </cell>
          <cell r="B640" t="str">
            <v>MINI DISJUNTOR BIPOLAR 16A CURVA C 5KA 220/127V</v>
          </cell>
          <cell r="C640" t="str">
            <v>UN</v>
          </cell>
          <cell r="D640">
            <v>18.02</v>
          </cell>
          <cell r="E640">
            <v>0</v>
          </cell>
        </row>
        <row r="641">
          <cell r="A641">
            <v>44665</v>
          </cell>
          <cell r="B641" t="str">
            <v>MINI DISJUNTOR BIPOLAR 20A CURVA C 5KA 220/127V</v>
          </cell>
          <cell r="C641" t="str">
            <v>UN</v>
          </cell>
          <cell r="D641">
            <v>18.02</v>
          </cell>
          <cell r="E641">
            <v>0</v>
          </cell>
        </row>
        <row r="642">
          <cell r="A642">
            <v>44666</v>
          </cell>
          <cell r="B642" t="str">
            <v>MINI DISJUNTOR BIPOLAR 25A CURVA C 5KA 220/127V</v>
          </cell>
          <cell r="C642" t="str">
            <v>UN</v>
          </cell>
          <cell r="D642">
            <v>18.02</v>
          </cell>
          <cell r="E642">
            <v>0</v>
          </cell>
        </row>
        <row r="643">
          <cell r="A643">
            <v>44667</v>
          </cell>
          <cell r="B643" t="str">
            <v>MINI DISJUNTOR BIPOLAR 32A CURVA C 5KA 220/127V</v>
          </cell>
          <cell r="C643" t="str">
            <v>UN</v>
          </cell>
          <cell r="D643">
            <v>18.02</v>
          </cell>
          <cell r="E643">
            <v>0</v>
          </cell>
        </row>
        <row r="644">
          <cell r="A644">
            <v>44668</v>
          </cell>
          <cell r="B644" t="str">
            <v>MINI DISJUNTOR BIPOLAR 40A CURVA C 5KA 220/127V</v>
          </cell>
          <cell r="C644" t="str">
            <v>UN</v>
          </cell>
          <cell r="D644">
            <v>18.02</v>
          </cell>
          <cell r="E644">
            <v>0</v>
          </cell>
        </row>
        <row r="645">
          <cell r="A645">
            <v>44669</v>
          </cell>
          <cell r="B645" t="str">
            <v>MINI DISJUNTOR BIPOLAR 50A CURVA C 5KA 220/127V</v>
          </cell>
          <cell r="C645" t="str">
            <v>UN</v>
          </cell>
          <cell r="D645">
            <v>21.31</v>
          </cell>
          <cell r="E645">
            <v>0</v>
          </cell>
        </row>
        <row r="646">
          <cell r="A646">
            <v>44671</v>
          </cell>
          <cell r="B646" t="str">
            <v>MINI DISJUNTOR TRIPOLAR 20A CURVA C 5KA 220/127V</v>
          </cell>
          <cell r="C646" t="str">
            <v>UN</v>
          </cell>
          <cell r="D646">
            <v>23.44</v>
          </cell>
          <cell r="E646">
            <v>0</v>
          </cell>
        </row>
        <row r="647">
          <cell r="A647">
            <v>44672</v>
          </cell>
          <cell r="B647" t="str">
            <v>MINI DISJUNTOR TRIPOLAR 25A CURVA C 5KA 220/127V</v>
          </cell>
          <cell r="C647" t="str">
            <v>UN</v>
          </cell>
          <cell r="D647">
            <v>23.44</v>
          </cell>
          <cell r="E647">
            <v>0</v>
          </cell>
        </row>
        <row r="648">
          <cell r="A648">
            <v>44673</v>
          </cell>
          <cell r="B648" t="str">
            <v>MINI DISJUNTOR TRIPOLAR 32A CURVA C 5KA 220/127V</v>
          </cell>
          <cell r="C648" t="str">
            <v>UN</v>
          </cell>
          <cell r="D648">
            <v>23.44</v>
          </cell>
          <cell r="E648">
            <v>0</v>
          </cell>
        </row>
        <row r="649">
          <cell r="A649">
            <v>44674</v>
          </cell>
          <cell r="B649" t="str">
            <v>MINI DISJUNTOR TRIPOLAR 40A CURVA C 5KA 220/127V</v>
          </cell>
          <cell r="C649" t="str">
            <v>UN</v>
          </cell>
          <cell r="D649">
            <v>23.44</v>
          </cell>
          <cell r="E649">
            <v>0</v>
          </cell>
        </row>
        <row r="650">
          <cell r="A650">
            <v>44675</v>
          </cell>
          <cell r="B650" t="str">
            <v>MINI DISJUNTOR TRIPOLAR 50A CURVA C 5KA 220/127V</v>
          </cell>
          <cell r="C650" t="str">
            <v>UN</v>
          </cell>
          <cell r="D650">
            <v>30.1</v>
          </cell>
          <cell r="E650">
            <v>0</v>
          </cell>
        </row>
        <row r="651">
          <cell r="A651">
            <v>44676</v>
          </cell>
          <cell r="B651" t="str">
            <v>MINI DISJUNTOR TRIPOLAR 70A CURVA C 5KA 220/127V</v>
          </cell>
          <cell r="C651" t="str">
            <v>UN</v>
          </cell>
          <cell r="D651">
            <v>71.86</v>
          </cell>
          <cell r="E651">
            <v>0</v>
          </cell>
        </row>
        <row r="652">
          <cell r="A652">
            <v>44677</v>
          </cell>
          <cell r="B652" t="str">
            <v>MINI DISJUNTOR TRIPOLAR 90A CURVA C 5KA 220/127V</v>
          </cell>
          <cell r="C652" t="str">
            <v>UN</v>
          </cell>
          <cell r="D652">
            <v>71.86</v>
          </cell>
          <cell r="E652">
            <v>0</v>
          </cell>
        </row>
        <row r="653">
          <cell r="A653">
            <v>44711</v>
          </cell>
          <cell r="B653" t="str">
            <v>MINI DISJUNTOR TRIPOLAR 80A CURVA C 5KA 220/127V</v>
          </cell>
          <cell r="C653" t="str">
            <v>UN</v>
          </cell>
          <cell r="D653">
            <v>71.86</v>
          </cell>
          <cell r="E653">
            <v>0</v>
          </cell>
        </row>
        <row r="654">
          <cell r="A654">
            <v>44712</v>
          </cell>
          <cell r="B654" t="str">
            <v>MINI DISJUNTOR TRIPOLAR 63A CURVA C 5KA 220/127V</v>
          </cell>
          <cell r="C654" t="str">
            <v>UN</v>
          </cell>
          <cell r="D654">
            <v>38.25</v>
          </cell>
          <cell r="E654">
            <v>0</v>
          </cell>
        </row>
        <row r="655">
          <cell r="A655">
            <v>44715</v>
          </cell>
          <cell r="B655" t="str">
            <v>MINI DISJUNTOR MONOPOLAR 10A CURVA C 5KA 220/127V</v>
          </cell>
          <cell r="C655" t="str">
            <v>UN</v>
          </cell>
          <cell r="D655">
            <v>4.7300000000000004</v>
          </cell>
          <cell r="E655">
            <v>0</v>
          </cell>
        </row>
        <row r="656">
          <cell r="A656">
            <v>44735</v>
          </cell>
          <cell r="B656" t="str">
            <v>DISPOSITIVO INTERRUPTOR DR BIPOLAR 25A - 30 MA</v>
          </cell>
          <cell r="C656" t="str">
            <v>UN</v>
          </cell>
          <cell r="D656">
            <v>71.52</v>
          </cell>
          <cell r="E656">
            <v>0</v>
          </cell>
        </row>
        <row r="657">
          <cell r="A657">
            <v>44736</v>
          </cell>
          <cell r="B657" t="str">
            <v>DISPOSITIVO INTERRUPTOR DR BIPOLAR 40A - 30 MA</v>
          </cell>
          <cell r="C657" t="str">
            <v>UN</v>
          </cell>
          <cell r="D657">
            <v>74.209999999999994</v>
          </cell>
          <cell r="E657">
            <v>0</v>
          </cell>
        </row>
        <row r="658">
          <cell r="A658">
            <v>44740</v>
          </cell>
          <cell r="B658" t="str">
            <v>MINI DISJUNTOR MONOPOLAR 63A CURVA C 5KA 220/127V</v>
          </cell>
          <cell r="C658" t="str">
            <v>UN</v>
          </cell>
          <cell r="D658">
            <v>11.43</v>
          </cell>
          <cell r="E658">
            <v>0</v>
          </cell>
        </row>
        <row r="659">
          <cell r="A659">
            <v>44760</v>
          </cell>
          <cell r="B659" t="str">
            <v>DISJUNTOR MINI- NORMA DIN - MONOPOLAR 6A CURVA C</v>
          </cell>
          <cell r="C659" t="str">
            <v>UN</v>
          </cell>
          <cell r="D659">
            <v>13.04</v>
          </cell>
          <cell r="E659">
            <v>0</v>
          </cell>
        </row>
        <row r="660">
          <cell r="A660">
            <v>44772</v>
          </cell>
          <cell r="B660" t="str">
            <v>DISJUNTOR DR BIPOLAR 20A - 30MA</v>
          </cell>
          <cell r="C660" t="str">
            <v>UN</v>
          </cell>
          <cell r="D660">
            <v>71.52</v>
          </cell>
          <cell r="E660">
            <v>0</v>
          </cell>
        </row>
        <row r="661">
          <cell r="A661">
            <v>44781</v>
          </cell>
          <cell r="B661" t="str">
            <v>MINI DISJUNTOR MONOPOLAR 50A CURVA C 5KA 220/127V</v>
          </cell>
          <cell r="C661" t="str">
            <v>UN</v>
          </cell>
          <cell r="D661">
            <v>6.89</v>
          </cell>
          <cell r="E661">
            <v>0</v>
          </cell>
        </row>
        <row r="662">
          <cell r="A662">
            <v>44783</v>
          </cell>
          <cell r="B662" t="str">
            <v>MINI DISJUNTOR TRIPOLAR 125A CURVA C 15KA 220/127V</v>
          </cell>
          <cell r="C662" t="str">
            <v>UN</v>
          </cell>
          <cell r="D662">
            <v>230.82</v>
          </cell>
          <cell r="E662">
            <v>0</v>
          </cell>
        </row>
        <row r="663">
          <cell r="A663">
            <v>44805</v>
          </cell>
          <cell r="B663" t="str">
            <v>DISJUNTOR TERMOMAG.TIPO TED,3POLOS,175A,GE/SIMILAR</v>
          </cell>
          <cell r="C663" t="str">
            <v>UN</v>
          </cell>
          <cell r="D663">
            <v>251.26</v>
          </cell>
          <cell r="E663">
            <v>0</v>
          </cell>
        </row>
        <row r="664">
          <cell r="A664">
            <v>44808</v>
          </cell>
          <cell r="B664" t="str">
            <v>DISJUNTOR MINI- NORMA DIN - MONOPOLAR 4A CURVA C</v>
          </cell>
          <cell r="C664" t="str">
            <v>UN</v>
          </cell>
          <cell r="D664">
            <v>13.04</v>
          </cell>
          <cell r="E664">
            <v>0</v>
          </cell>
        </row>
        <row r="665">
          <cell r="A665">
            <v>44833</v>
          </cell>
          <cell r="B665" t="str">
            <v>MINI DISJUNTOR MONOPOLAR 70A CURVA C 5KA 220/127V</v>
          </cell>
          <cell r="C665" t="str">
            <v>UN</v>
          </cell>
          <cell r="D665">
            <v>11.83</v>
          </cell>
          <cell r="E665">
            <v>0</v>
          </cell>
        </row>
        <row r="666">
          <cell r="A666">
            <v>44851</v>
          </cell>
          <cell r="B666" t="str">
            <v>MINI DISJUNTOR MONOPOLAR 80A CURVA C 5KA 220/127V</v>
          </cell>
          <cell r="C666" t="str">
            <v>UN</v>
          </cell>
          <cell r="D666">
            <v>14.88</v>
          </cell>
          <cell r="E666">
            <v>0</v>
          </cell>
        </row>
        <row r="667">
          <cell r="A667">
            <v>44852</v>
          </cell>
          <cell r="B667" t="str">
            <v>MINI DISJUNTOR BIPOLAR 63A CURVA C 5KA 220/127V</v>
          </cell>
          <cell r="C667" t="str">
            <v>UN</v>
          </cell>
          <cell r="D667">
            <v>28.01</v>
          </cell>
          <cell r="E667">
            <v>0</v>
          </cell>
        </row>
        <row r="668">
          <cell r="A668">
            <v>44871</v>
          </cell>
          <cell r="B668" t="str">
            <v>MINI DISJUNTOR BIPOLAR 70A CURVA C 5KA 220/127V</v>
          </cell>
          <cell r="C668" t="str">
            <v>UN</v>
          </cell>
          <cell r="D668">
            <v>44.26</v>
          </cell>
          <cell r="E668">
            <v>0</v>
          </cell>
        </row>
        <row r="669">
          <cell r="A669">
            <v>44905</v>
          </cell>
          <cell r="B669" t="str">
            <v>MINI DISJUNTOR BIPOLAR 80A CURVA C 5KA 220/127V</v>
          </cell>
          <cell r="C669" t="str">
            <v>UN</v>
          </cell>
          <cell r="D669">
            <v>49.35</v>
          </cell>
          <cell r="E669">
            <v>0</v>
          </cell>
        </row>
        <row r="670">
          <cell r="A670">
            <v>44951</v>
          </cell>
          <cell r="B670" t="str">
            <v>DISJUNTOR MINI- NORMA DIN - MONOPOLAR 2A CURVA C</v>
          </cell>
          <cell r="C670" t="str">
            <v>UN</v>
          </cell>
          <cell r="D670">
            <v>13.04</v>
          </cell>
          <cell r="E670">
            <v>0</v>
          </cell>
        </row>
        <row r="671">
          <cell r="A671">
            <v>45001</v>
          </cell>
          <cell r="B671" t="str">
            <v>CAIXA PASSAG. CHAPA C/TAMPA PARAF. 100X100X80MM</v>
          </cell>
          <cell r="C671" t="str">
            <v>UN</v>
          </cell>
          <cell r="D671">
            <v>9.64</v>
          </cell>
          <cell r="E671">
            <v>0</v>
          </cell>
        </row>
        <row r="672">
          <cell r="A672">
            <v>45002</v>
          </cell>
          <cell r="B672" t="str">
            <v>CAIXA PASSAG. CH 18 C/TAMPA PARAF. 150X150X80MM</v>
          </cell>
          <cell r="C672" t="str">
            <v>UN</v>
          </cell>
          <cell r="D672">
            <v>18.62</v>
          </cell>
          <cell r="E672">
            <v>0</v>
          </cell>
        </row>
        <row r="673">
          <cell r="A673">
            <v>45003</v>
          </cell>
          <cell r="B673" t="str">
            <v>CAIXA PASSAG. CH 18 C/TAMPA PARAF. 200X200X100MM</v>
          </cell>
          <cell r="C673" t="str">
            <v>UN</v>
          </cell>
          <cell r="D673">
            <v>27.91</v>
          </cell>
          <cell r="E673">
            <v>0</v>
          </cell>
        </row>
        <row r="674">
          <cell r="A674">
            <v>45005</v>
          </cell>
          <cell r="B674" t="str">
            <v>CAIXA PASSAG. CH 18 C/TAMPA PARAF. 300X300X120MM</v>
          </cell>
          <cell r="C674" t="str">
            <v>UN</v>
          </cell>
          <cell r="D674">
            <v>47.09</v>
          </cell>
          <cell r="E674">
            <v>0</v>
          </cell>
        </row>
        <row r="675">
          <cell r="A675">
            <v>45017</v>
          </cell>
          <cell r="B675" t="str">
            <v>CAIXA ESTAMPADA 4X2"- CHAPA 18</v>
          </cell>
          <cell r="C675" t="str">
            <v>UN</v>
          </cell>
          <cell r="D675">
            <v>2.0299999999999998</v>
          </cell>
          <cell r="E675">
            <v>0</v>
          </cell>
        </row>
        <row r="676">
          <cell r="A676">
            <v>45020</v>
          </cell>
          <cell r="B676" t="str">
            <v>CAIXA EM CHAPA ACO ESTAMPADA C/FUNDO MOVEL 4X4"</v>
          </cell>
          <cell r="C676" t="str">
            <v>UN</v>
          </cell>
          <cell r="D676">
            <v>2.89</v>
          </cell>
          <cell r="E676">
            <v>0</v>
          </cell>
        </row>
        <row r="677">
          <cell r="A677">
            <v>45021</v>
          </cell>
          <cell r="B677" t="str">
            <v>CAIXA ESTAMPADA 4X4" - CHAPA 18</v>
          </cell>
          <cell r="C677" t="str">
            <v>UN</v>
          </cell>
          <cell r="D677">
            <v>2.89</v>
          </cell>
          <cell r="E677">
            <v>0</v>
          </cell>
        </row>
        <row r="678">
          <cell r="A678">
            <v>45026</v>
          </cell>
          <cell r="B678" t="str">
            <v>CONDULETE PVC TIPO 'E' DIAMETRO 3/4" C/ TAMPA</v>
          </cell>
          <cell r="C678" t="str">
            <v>UN</v>
          </cell>
          <cell r="D678">
            <v>7.14</v>
          </cell>
          <cell r="E678">
            <v>0</v>
          </cell>
        </row>
        <row r="679">
          <cell r="A679">
            <v>45029</v>
          </cell>
          <cell r="B679" t="str">
            <v>CONDULETE PVC TIPO 'T' DIAMETRO 3/4" C/ TAMPA</v>
          </cell>
          <cell r="C679" t="str">
            <v>UN</v>
          </cell>
          <cell r="D679">
            <v>7.69</v>
          </cell>
          <cell r="E679">
            <v>0</v>
          </cell>
        </row>
        <row r="680">
          <cell r="A680">
            <v>45033</v>
          </cell>
          <cell r="B680" t="str">
            <v>CONDULETE PVC TIPO 'LR' DIAMETRO 3/4" C/ TAMPA</v>
          </cell>
          <cell r="C680" t="str">
            <v>UN</v>
          </cell>
          <cell r="D680">
            <v>7.64</v>
          </cell>
          <cell r="E680">
            <v>0</v>
          </cell>
        </row>
        <row r="681">
          <cell r="A681">
            <v>45035</v>
          </cell>
          <cell r="B681" t="str">
            <v>CAIXA C/TAMPA DO TIPO CIE-2 20X20X12 CM (TELEFONE)</v>
          </cell>
          <cell r="C681" t="str">
            <v>UN</v>
          </cell>
          <cell r="D681">
            <v>39.56</v>
          </cell>
          <cell r="E681">
            <v>0</v>
          </cell>
        </row>
        <row r="682">
          <cell r="A682">
            <v>45037</v>
          </cell>
          <cell r="B682" t="str">
            <v>CAIXA C/TAMPA DO TIPO CIE-4 60X60X12 CM (TELEFONE)</v>
          </cell>
          <cell r="C682" t="str">
            <v>UN</v>
          </cell>
          <cell r="D682">
            <v>152.97999999999999</v>
          </cell>
          <cell r="E682">
            <v>0</v>
          </cell>
        </row>
        <row r="683">
          <cell r="A683">
            <v>45044</v>
          </cell>
          <cell r="B683" t="str">
            <v>CAIXA METALICA DA GOMES DIM. 20 X 20 X 15 CM</v>
          </cell>
          <cell r="C683" t="str">
            <v>UN</v>
          </cell>
          <cell r="D683">
            <v>22.08</v>
          </cell>
          <cell r="E683">
            <v>0</v>
          </cell>
        </row>
        <row r="684">
          <cell r="A684">
            <v>45104</v>
          </cell>
          <cell r="B684" t="str">
            <v>CAIXA PVC 4 X 2" TIGREFLEX</v>
          </cell>
          <cell r="C684" t="str">
            <v>UN</v>
          </cell>
          <cell r="D684">
            <v>1.99</v>
          </cell>
          <cell r="E684">
            <v>0</v>
          </cell>
        </row>
        <row r="685">
          <cell r="A685">
            <v>45270</v>
          </cell>
          <cell r="B685" t="str">
            <v>CONDULETE ALUMINIO TIPO T DIAM 3/4" C/ TAMPA</v>
          </cell>
          <cell r="C685" t="str">
            <v>UN</v>
          </cell>
          <cell r="D685">
            <v>8.16</v>
          </cell>
          <cell r="E685">
            <v>0</v>
          </cell>
        </row>
        <row r="686">
          <cell r="A686">
            <v>45333</v>
          </cell>
          <cell r="B686" t="str">
            <v>LUM FLUOR 1X26W EMB. EF06-E126VJC LUMICENTER COMPL</v>
          </cell>
          <cell r="C686" t="str">
            <v>UN</v>
          </cell>
          <cell r="D686">
            <v>63.16</v>
          </cell>
          <cell r="E686">
            <v>0</v>
          </cell>
        </row>
        <row r="687">
          <cell r="A687">
            <v>45363</v>
          </cell>
          <cell r="B687" t="str">
            <v>LUMIN. FLUOR.4X16W,EMB,CAA01-E416 LUMICENTER COMPL</v>
          </cell>
          <cell r="C687" t="str">
            <v>UN</v>
          </cell>
          <cell r="D687">
            <v>154.13999999999999</v>
          </cell>
          <cell r="E687">
            <v>0</v>
          </cell>
        </row>
        <row r="688">
          <cell r="A688">
            <v>45364</v>
          </cell>
          <cell r="B688" t="str">
            <v>LUMIN. FLUOR.4X16W,SOBR,CAA01-S416 LUMICENTER COMP</v>
          </cell>
          <cell r="C688" t="str">
            <v>UN</v>
          </cell>
          <cell r="D688">
            <v>175.56</v>
          </cell>
          <cell r="E688">
            <v>0</v>
          </cell>
        </row>
        <row r="689">
          <cell r="A689">
            <v>45373</v>
          </cell>
          <cell r="B689" t="str">
            <v>LUM EMB FLUO REFL E ALETAS 2X32W CAA01-E232 - COMP</v>
          </cell>
          <cell r="C689" t="str">
            <v>UN</v>
          </cell>
          <cell r="D689">
            <v>134.21</v>
          </cell>
          <cell r="E689">
            <v>0</v>
          </cell>
        </row>
        <row r="690">
          <cell r="A690">
            <v>45442</v>
          </cell>
          <cell r="B690" t="str">
            <v>BEBEDOURO P/ DEFIC. REF. BDF 300 - IBBL</v>
          </cell>
          <cell r="C690" t="str">
            <v>UN</v>
          </cell>
          <cell r="D690">
            <v>1977.52</v>
          </cell>
          <cell r="E690">
            <v>0</v>
          </cell>
        </row>
        <row r="691">
          <cell r="A691">
            <v>45501</v>
          </cell>
          <cell r="B691" t="str">
            <v>INTERRUPTOR 1 TECLA SIMPLES 10A/250V S/ ESPELHO</v>
          </cell>
          <cell r="C691" t="str">
            <v>UN</v>
          </cell>
          <cell r="D691">
            <v>5.31</v>
          </cell>
          <cell r="E691">
            <v>0</v>
          </cell>
        </row>
        <row r="692">
          <cell r="A692">
            <v>45502</v>
          </cell>
          <cell r="B692" t="str">
            <v>INTERRUPTOR 1 TECLA PARALELO 10A/250V S/ ESPELHO</v>
          </cell>
          <cell r="C692" t="str">
            <v>UN</v>
          </cell>
          <cell r="D692">
            <v>6.59</v>
          </cell>
          <cell r="E692">
            <v>0</v>
          </cell>
        </row>
        <row r="693">
          <cell r="A693">
            <v>45505</v>
          </cell>
          <cell r="B693" t="str">
            <v>INTERRUPTOR PULSADOR CAMPAINHA S/ ESPELHO</v>
          </cell>
          <cell r="C693" t="str">
            <v>UN</v>
          </cell>
          <cell r="D693">
            <v>6.26</v>
          </cell>
          <cell r="E693">
            <v>0</v>
          </cell>
        </row>
        <row r="694">
          <cell r="A694">
            <v>45506</v>
          </cell>
          <cell r="B694" t="str">
            <v>INTERRUPTOR 2 TECLAS SIMPLES 10A/250V S/ ESPELHO</v>
          </cell>
          <cell r="C694" t="str">
            <v>UN</v>
          </cell>
          <cell r="D694">
            <v>8.94</v>
          </cell>
          <cell r="E694">
            <v>0</v>
          </cell>
        </row>
        <row r="695">
          <cell r="A695">
            <v>45510</v>
          </cell>
          <cell r="B695" t="str">
            <v>INTERRUP 1 TECLA SIMPLES 1 TOMADA 2P+T S/ ESPELHO</v>
          </cell>
          <cell r="C695" t="str">
            <v>UN</v>
          </cell>
          <cell r="D695">
            <v>8.68</v>
          </cell>
          <cell r="E695">
            <v>0</v>
          </cell>
        </row>
        <row r="696">
          <cell r="A696">
            <v>45512</v>
          </cell>
          <cell r="B696" t="str">
            <v>INTERRUPTOR 3 TECLAS SIMPLES S/ ESPELHO</v>
          </cell>
          <cell r="C696" t="str">
            <v>UN</v>
          </cell>
          <cell r="D696">
            <v>11.17</v>
          </cell>
          <cell r="E696">
            <v>0</v>
          </cell>
        </row>
        <row r="697">
          <cell r="A697">
            <v>45516</v>
          </cell>
          <cell r="B697" t="str">
            <v>INTERRUP 2 TECLAS SIMPL 1 TOMADA 2 P+T S/ ESPELHO</v>
          </cell>
          <cell r="C697" t="str">
            <v>UN</v>
          </cell>
          <cell r="D697">
            <v>11.53</v>
          </cell>
          <cell r="E697">
            <v>0</v>
          </cell>
        </row>
        <row r="698">
          <cell r="A698">
            <v>45519</v>
          </cell>
          <cell r="B698" t="str">
            <v>TOMADA PAD BRAS 2 P+T 20A/250V NBR 14136 S/ ESPELH</v>
          </cell>
          <cell r="C698" t="str">
            <v>UN</v>
          </cell>
          <cell r="D698">
            <v>9.8800000000000008</v>
          </cell>
          <cell r="E698">
            <v>0</v>
          </cell>
        </row>
        <row r="699">
          <cell r="A699">
            <v>45520</v>
          </cell>
          <cell r="B699" t="str">
            <v>TOMADA PAD BRAS 2 P+T 10A/250V NBR 14136 S/ ESPELH</v>
          </cell>
          <cell r="C699" t="str">
            <v>UN</v>
          </cell>
          <cell r="D699">
            <v>7.98</v>
          </cell>
          <cell r="E699">
            <v>0</v>
          </cell>
        </row>
        <row r="700">
          <cell r="A700">
            <v>45523</v>
          </cell>
          <cell r="B700" t="str">
            <v>TOMADA DE 3 POLOS 20A 250V S/ ESPELHO</v>
          </cell>
          <cell r="C700" t="str">
            <v>UN</v>
          </cell>
          <cell r="D700">
            <v>8.32</v>
          </cell>
          <cell r="E700">
            <v>0</v>
          </cell>
        </row>
        <row r="701">
          <cell r="A701">
            <v>45525</v>
          </cell>
          <cell r="B701" t="str">
            <v>ESPELHO 4X2", LINHA BRANCA</v>
          </cell>
          <cell r="C701" t="str">
            <v>UN</v>
          </cell>
          <cell r="D701">
            <v>3.42</v>
          </cell>
          <cell r="E701">
            <v>0</v>
          </cell>
        </row>
        <row r="702">
          <cell r="A702">
            <v>45526</v>
          </cell>
          <cell r="B702" t="str">
            <v>ESPELHO 4X4", LINHA BRANCA</v>
          </cell>
          <cell r="C702" t="str">
            <v>UN</v>
          </cell>
          <cell r="D702">
            <v>8.09</v>
          </cell>
          <cell r="E702">
            <v>0</v>
          </cell>
        </row>
        <row r="703">
          <cell r="A703">
            <v>45558</v>
          </cell>
          <cell r="B703" t="str">
            <v>ESPELHO 4X2" COM UM FURO RED 13MM LINHA BRANCA</v>
          </cell>
          <cell r="C703" t="str">
            <v>UN</v>
          </cell>
          <cell r="D703">
            <v>2.68</v>
          </cell>
          <cell r="E703">
            <v>0</v>
          </cell>
        </row>
        <row r="704">
          <cell r="A704">
            <v>45734</v>
          </cell>
          <cell r="B704" t="str">
            <v>ESPELHO PARA CAIXA 4 X 4" CEGO</v>
          </cell>
          <cell r="C704" t="str">
            <v>UN</v>
          </cell>
          <cell r="D704">
            <v>8.09</v>
          </cell>
          <cell r="E704">
            <v>0</v>
          </cell>
        </row>
        <row r="705">
          <cell r="A705">
            <v>46001</v>
          </cell>
          <cell r="B705" t="str">
            <v>LUMINARIA FLUOR.2X20W COMPLETA C/LAMPADA E REATOR</v>
          </cell>
          <cell r="C705" t="str">
            <v>UN</v>
          </cell>
          <cell r="D705">
            <v>41.56</v>
          </cell>
          <cell r="E705">
            <v>0</v>
          </cell>
        </row>
        <row r="706">
          <cell r="A706">
            <v>46002</v>
          </cell>
          <cell r="B706" t="str">
            <v>LUMINARIA FLUOR.2X40W COMPLETA C/LAMPADA E REATOR</v>
          </cell>
          <cell r="C706" t="str">
            <v>UN</v>
          </cell>
          <cell r="D706">
            <v>43.97</v>
          </cell>
          <cell r="E706">
            <v>0</v>
          </cell>
        </row>
        <row r="707">
          <cell r="A707">
            <v>46003</v>
          </cell>
          <cell r="B707" t="str">
            <v>LUMINARIA FLUOR.4X20W COMPLETA C/ LAMPADA E REATOR</v>
          </cell>
          <cell r="C707" t="str">
            <v>UN</v>
          </cell>
          <cell r="D707">
            <v>78.349999999999994</v>
          </cell>
          <cell r="E707">
            <v>0</v>
          </cell>
        </row>
        <row r="708">
          <cell r="A708">
            <v>46004</v>
          </cell>
          <cell r="B708" t="str">
            <v>LUMINARIA FLUOR.4X40W COMPLETA C/ LAMPADA E REATOR</v>
          </cell>
          <cell r="C708" t="str">
            <v>UN</v>
          </cell>
          <cell r="D708">
            <v>94.21</v>
          </cell>
          <cell r="E708">
            <v>0</v>
          </cell>
        </row>
        <row r="709">
          <cell r="A709">
            <v>46009</v>
          </cell>
          <cell r="B709" t="str">
            <v>LUMINARIA FLUOR.1X20W COMPLETA C/LAMPADA E REATOR</v>
          </cell>
          <cell r="C709" t="str">
            <v>UN</v>
          </cell>
          <cell r="D709">
            <v>27.34</v>
          </cell>
          <cell r="E709">
            <v>0</v>
          </cell>
        </row>
        <row r="710">
          <cell r="A710">
            <v>46015</v>
          </cell>
          <cell r="B710" t="str">
            <v>PLAFONIER COM GLOBO LEITOSO 9X4" TIPO BRASIL</v>
          </cell>
          <cell r="C710" t="str">
            <v>UN</v>
          </cell>
          <cell r="D710">
            <v>17.989999999999998</v>
          </cell>
          <cell r="E710">
            <v>0</v>
          </cell>
        </row>
        <row r="711">
          <cell r="A711">
            <v>46027</v>
          </cell>
          <cell r="B711" t="str">
            <v>RELE FOTOELETRICO MAG. MOD. RM10A / 220V</v>
          </cell>
          <cell r="C711" t="str">
            <v>UN</v>
          </cell>
          <cell r="D711">
            <v>18.39</v>
          </cell>
          <cell r="E711">
            <v>0</v>
          </cell>
        </row>
        <row r="712">
          <cell r="A712">
            <v>46028</v>
          </cell>
          <cell r="B712" t="str">
            <v>ARANDELA COM DIFUSOR EM VIDRO 25CM</v>
          </cell>
          <cell r="C712" t="str">
            <v>UN</v>
          </cell>
          <cell r="D712">
            <v>35.18</v>
          </cell>
          <cell r="E712">
            <v>0</v>
          </cell>
        </row>
        <row r="713">
          <cell r="A713">
            <v>46036</v>
          </cell>
          <cell r="B713" t="str">
            <v>LUMINARIA FLUOR.1X40W COMPLETA C/LAMPADA E REATOR</v>
          </cell>
          <cell r="C713" t="str">
            <v>UN</v>
          </cell>
          <cell r="D713">
            <v>30.6</v>
          </cell>
          <cell r="E713">
            <v>0</v>
          </cell>
        </row>
        <row r="714">
          <cell r="A714">
            <v>46038</v>
          </cell>
          <cell r="B714" t="str">
            <v>LUMINARIA FLUOR.2X40W COMPLETA C/DIFUSOR E REATOR</v>
          </cell>
          <cell r="C714" t="str">
            <v>UN</v>
          </cell>
          <cell r="D714">
            <v>92.82</v>
          </cell>
          <cell r="E714">
            <v>0</v>
          </cell>
        </row>
        <row r="715">
          <cell r="A715">
            <v>46043</v>
          </cell>
          <cell r="B715" t="str">
            <v>PROJETOR CIRCULAR PL 400MV TECNOWATT OU SIMILAR</v>
          </cell>
          <cell r="C715" t="str">
            <v>UN</v>
          </cell>
          <cell r="D715">
            <v>270.98</v>
          </cell>
          <cell r="E715">
            <v>0</v>
          </cell>
        </row>
        <row r="716">
          <cell r="A716">
            <v>46058</v>
          </cell>
          <cell r="B716" t="str">
            <v>PROJ. RETANGULAR PL 400 MA TECNOWATT</v>
          </cell>
          <cell r="C716" t="str">
            <v>UN</v>
          </cell>
          <cell r="D716">
            <v>103.81</v>
          </cell>
          <cell r="E716">
            <v>0</v>
          </cell>
        </row>
        <row r="717">
          <cell r="A717">
            <v>46078</v>
          </cell>
          <cell r="B717" t="str">
            <v>LUMINARIA FLUOR.3X40W COMPLETA C/LAMPADA E REATOR</v>
          </cell>
          <cell r="C717" t="str">
            <v>UN</v>
          </cell>
          <cell r="D717">
            <v>72.989999999999995</v>
          </cell>
          <cell r="E717">
            <v>0</v>
          </cell>
        </row>
        <row r="718">
          <cell r="A718">
            <v>46501</v>
          </cell>
          <cell r="B718" t="str">
            <v>LAMPADA VAPOR DE MERCURIO 400W/220V PHILIPS/SIM.</v>
          </cell>
          <cell r="C718" t="str">
            <v>UN</v>
          </cell>
          <cell r="D718">
            <v>32.979999999999997</v>
          </cell>
          <cell r="E718">
            <v>0</v>
          </cell>
        </row>
        <row r="719">
          <cell r="A719">
            <v>46504</v>
          </cell>
          <cell r="B719" t="str">
            <v>LAMPADA INCANDESCENTE 60W</v>
          </cell>
          <cell r="C719" t="str">
            <v>UN</v>
          </cell>
          <cell r="D719">
            <v>2.2000000000000002</v>
          </cell>
          <cell r="E719">
            <v>0</v>
          </cell>
        </row>
        <row r="720">
          <cell r="A720">
            <v>46506</v>
          </cell>
          <cell r="B720" t="str">
            <v>LAMPADA MISTA DE 160 W</v>
          </cell>
          <cell r="C720" t="str">
            <v>UN</v>
          </cell>
          <cell r="D720">
            <v>12.8</v>
          </cell>
          <cell r="E720">
            <v>0</v>
          </cell>
        </row>
        <row r="721">
          <cell r="A721">
            <v>46509</v>
          </cell>
          <cell r="B721" t="str">
            <v>LAMPADA INCANDESCENTE 100 W</v>
          </cell>
          <cell r="C721" t="str">
            <v>UN</v>
          </cell>
          <cell r="D721">
            <v>2.89</v>
          </cell>
          <cell r="E721">
            <v>0</v>
          </cell>
        </row>
        <row r="722">
          <cell r="A722">
            <v>46513</v>
          </cell>
          <cell r="B722" t="str">
            <v>LAMPADA VS 400W/220V MOD. SON PHILLIPS OU SIMILAR</v>
          </cell>
          <cell r="C722" t="str">
            <v>UN</v>
          </cell>
          <cell r="D722">
            <v>40.090000000000003</v>
          </cell>
          <cell r="E722">
            <v>0</v>
          </cell>
        </row>
        <row r="723">
          <cell r="A723">
            <v>46524</v>
          </cell>
          <cell r="B723" t="str">
            <v>LAMPADA FLUORESCENTE TUBULAR 20W</v>
          </cell>
          <cell r="C723" t="str">
            <v>UN</v>
          </cell>
          <cell r="D723">
            <v>4.57</v>
          </cell>
          <cell r="E723">
            <v>0</v>
          </cell>
        </row>
        <row r="724">
          <cell r="A724">
            <v>46525</v>
          </cell>
          <cell r="B724" t="str">
            <v>LAMPADA FLUORESCENTE TUBULAR 40W</v>
          </cell>
          <cell r="C724" t="str">
            <v>UN</v>
          </cell>
          <cell r="D724">
            <v>4.57</v>
          </cell>
          <cell r="E724">
            <v>0</v>
          </cell>
        </row>
        <row r="725">
          <cell r="A725">
            <v>46527</v>
          </cell>
          <cell r="B725" t="str">
            <v>LAMPADA FLUORESCENTE 110W</v>
          </cell>
          <cell r="C725" t="str">
            <v>UN</v>
          </cell>
          <cell r="D725">
            <v>16.420000000000002</v>
          </cell>
          <cell r="E725">
            <v>0</v>
          </cell>
        </row>
        <row r="726">
          <cell r="A726">
            <v>46636</v>
          </cell>
          <cell r="B726" t="str">
            <v>BLOCO AUTONOMO ILUM EMER 2X9W C/TOM.2P - 2 HRS</v>
          </cell>
          <cell r="C726" t="str">
            <v>UN</v>
          </cell>
          <cell r="D726">
            <v>41.86</v>
          </cell>
          <cell r="E726">
            <v>0</v>
          </cell>
        </row>
        <row r="727">
          <cell r="A727">
            <v>46656</v>
          </cell>
          <cell r="B727" t="str">
            <v>PLAFONIER COM GLOBO PLÁSTICO 9X4"</v>
          </cell>
          <cell r="C727" t="str">
            <v>UN</v>
          </cell>
          <cell r="D727">
            <v>11.77</v>
          </cell>
          <cell r="E727">
            <v>0</v>
          </cell>
        </row>
        <row r="728">
          <cell r="A728">
            <v>46689</v>
          </cell>
          <cell r="B728" t="str">
            <v>SUPORTE PARA UMA LUMINARIA TIPO PETALA - SL1</v>
          </cell>
          <cell r="C728" t="str">
            <v>UN</v>
          </cell>
          <cell r="D728">
            <v>63.92</v>
          </cell>
          <cell r="E728">
            <v>0</v>
          </cell>
        </row>
        <row r="729">
          <cell r="A729">
            <v>46998</v>
          </cell>
          <cell r="B729" t="str">
            <v>LUM.FLUOR.2X16W,SOBREP,CAA01-S216 LUMICENTER COMPL</v>
          </cell>
          <cell r="C729" t="str">
            <v>UN</v>
          </cell>
          <cell r="D729">
            <v>103.56</v>
          </cell>
          <cell r="E729">
            <v>0</v>
          </cell>
        </row>
        <row r="730">
          <cell r="A730">
            <v>47206</v>
          </cell>
          <cell r="B730" t="str">
            <v>LUM SOBR FLUO REFL E ALETAS 2X32W CAA01-S232 COMPL</v>
          </cell>
          <cell r="C730" t="str">
            <v>UN</v>
          </cell>
          <cell r="D730">
            <v>151.47999999999999</v>
          </cell>
          <cell r="E730">
            <v>0</v>
          </cell>
        </row>
        <row r="731">
          <cell r="A731">
            <v>47239</v>
          </cell>
          <cell r="B731" t="str">
            <v>ARANDELA PROVA DE TEMPO 45º GLOBO POLICABORN</v>
          </cell>
          <cell r="C731" t="str">
            <v>UN</v>
          </cell>
          <cell r="D731">
            <v>96.67</v>
          </cell>
          <cell r="E731">
            <v>0</v>
          </cell>
        </row>
        <row r="732">
          <cell r="A732">
            <v>47467</v>
          </cell>
          <cell r="B732" t="str">
            <v>LUM.FLUOR.2X16W,EMB,CAA01-E216 LUMICENTER COMPL</v>
          </cell>
          <cell r="C732" t="str">
            <v>UN</v>
          </cell>
          <cell r="D732">
            <v>85.22</v>
          </cell>
          <cell r="E732">
            <v>0</v>
          </cell>
        </row>
        <row r="733">
          <cell r="A733">
            <v>47526</v>
          </cell>
          <cell r="B733" t="str">
            <v>CAMPAINHA TIMBRE PIAL COD. 41277 OU SIMILAR</v>
          </cell>
          <cell r="C733" t="str">
            <v>UN</v>
          </cell>
          <cell r="D733">
            <v>68.94</v>
          </cell>
          <cell r="E733">
            <v>0</v>
          </cell>
        </row>
        <row r="734">
          <cell r="A734">
            <v>47527</v>
          </cell>
          <cell r="B734" t="str">
            <v>CAMPAINHA TIPO PRATO PIAL COD. 41418</v>
          </cell>
          <cell r="C734" t="str">
            <v>UN</v>
          </cell>
          <cell r="D734">
            <v>309.77</v>
          </cell>
          <cell r="E734">
            <v>0</v>
          </cell>
        </row>
        <row r="735">
          <cell r="A735">
            <v>47530</v>
          </cell>
          <cell r="B735" t="str">
            <v>BOMBA CENTR MONOFASICA 110/220V 1/2CV REF: CAM W4C</v>
          </cell>
          <cell r="C735" t="str">
            <v>UN</v>
          </cell>
          <cell r="D735">
            <v>506.9</v>
          </cell>
          <cell r="E735">
            <v>0</v>
          </cell>
        </row>
        <row r="736">
          <cell r="A736">
            <v>47561</v>
          </cell>
          <cell r="B736" t="str">
            <v>CHUVEIRO ELÉTRICO EM PVC - TIPO DUCHA</v>
          </cell>
          <cell r="C736" t="str">
            <v>UN</v>
          </cell>
          <cell r="D736">
            <v>42.46</v>
          </cell>
          <cell r="E736">
            <v>0</v>
          </cell>
        </row>
        <row r="737">
          <cell r="A737">
            <v>47566</v>
          </cell>
          <cell r="B737" t="str">
            <v>BOMBA CENTRIFUGA TRIFASICA 2 CV - CAM W14</v>
          </cell>
          <cell r="C737" t="str">
            <v>UN</v>
          </cell>
          <cell r="D737">
            <v>790.16</v>
          </cell>
          <cell r="E737">
            <v>0</v>
          </cell>
        </row>
        <row r="738">
          <cell r="A738">
            <v>47574</v>
          </cell>
          <cell r="B738" t="str">
            <v>BOMBA CENTR TRIFASICA 220/380V 5CV REF CAM 618 TJM</v>
          </cell>
          <cell r="C738" t="str">
            <v>UN</v>
          </cell>
          <cell r="D738">
            <v>2063.9699999999998</v>
          </cell>
          <cell r="E738">
            <v>0</v>
          </cell>
        </row>
        <row r="739">
          <cell r="A739">
            <v>47633</v>
          </cell>
          <cell r="B739" t="str">
            <v>BOMBA CENTR MONOFASICA 110/220V 1 CV REF: CAM W10</v>
          </cell>
          <cell r="C739" t="str">
            <v>UN</v>
          </cell>
          <cell r="D739">
            <v>837.51</v>
          </cell>
          <cell r="E739">
            <v>0</v>
          </cell>
        </row>
        <row r="740">
          <cell r="A740">
            <v>47634</v>
          </cell>
          <cell r="B740" t="str">
            <v>BOMBA CENTR MONOFASICA 110/220V 3/4CV REF: CAM W10</v>
          </cell>
          <cell r="C740" t="str">
            <v>UN</v>
          </cell>
          <cell r="D740">
            <v>800.1</v>
          </cell>
          <cell r="E740">
            <v>0</v>
          </cell>
        </row>
        <row r="741">
          <cell r="A741">
            <v>47795</v>
          </cell>
          <cell r="B741" t="str">
            <v>CHUVEIRO PRESSMATIC ANT VANDALISMO 17125006</v>
          </cell>
          <cell r="C741" t="str">
            <v>UN</v>
          </cell>
          <cell r="D741">
            <v>267.68</v>
          </cell>
          <cell r="E741">
            <v>0</v>
          </cell>
        </row>
        <row r="742">
          <cell r="A742">
            <v>47855</v>
          </cell>
          <cell r="B742" t="str">
            <v>DISP PROT CONTR SURTOS DPS BIPOLAR 275VCA COR 40KA</v>
          </cell>
          <cell r="C742" t="str">
            <v>UN</v>
          </cell>
          <cell r="D742">
            <v>92.33</v>
          </cell>
          <cell r="E742">
            <v>0</v>
          </cell>
        </row>
        <row r="743">
          <cell r="A743">
            <v>47862</v>
          </cell>
          <cell r="B743" t="str">
            <v>CAIXA POLIPROPILENO EQUIP 180X150X90MM TEL 902</v>
          </cell>
          <cell r="C743" t="str">
            <v>UN</v>
          </cell>
          <cell r="D743">
            <v>130.16999999999999</v>
          </cell>
          <cell r="E743">
            <v>0</v>
          </cell>
        </row>
        <row r="744">
          <cell r="A744">
            <v>48002</v>
          </cell>
          <cell r="B744" t="str">
            <v>BASE FERRO FUNDIDO P/FIXACAO MASTRO 2" SOBRE LAJE</v>
          </cell>
          <cell r="C744" t="str">
            <v>UN</v>
          </cell>
          <cell r="D744">
            <v>32.67</v>
          </cell>
          <cell r="E744">
            <v>0</v>
          </cell>
        </row>
        <row r="745">
          <cell r="A745">
            <v>48004</v>
          </cell>
          <cell r="B745" t="str">
            <v>CONJ ESTAIAMENTO 1.5M CADA ESTAIS X 1.1/2" TEL 440</v>
          </cell>
          <cell r="C745" t="str">
            <v>UN</v>
          </cell>
          <cell r="D745">
            <v>112.13</v>
          </cell>
          <cell r="E745">
            <v>0</v>
          </cell>
        </row>
        <row r="746">
          <cell r="A746">
            <v>48008</v>
          </cell>
          <cell r="B746" t="str">
            <v>HASTE COPPERWELD 19MM(3/4")X3M</v>
          </cell>
          <cell r="C746" t="str">
            <v>UN</v>
          </cell>
          <cell r="D746">
            <v>49.86</v>
          </cell>
          <cell r="E746">
            <v>0</v>
          </cell>
        </row>
        <row r="747">
          <cell r="A747">
            <v>48015</v>
          </cell>
          <cell r="B747" t="str">
            <v>CAIXA INSPECAO DO TERRA,PVC,DIÂM.30CM,TAMPA FERRO</v>
          </cell>
          <cell r="C747" t="str">
            <v>UN</v>
          </cell>
          <cell r="D747">
            <v>65.72</v>
          </cell>
          <cell r="E747">
            <v>0</v>
          </cell>
        </row>
        <row r="748">
          <cell r="A748">
            <v>48020</v>
          </cell>
          <cell r="B748" t="str">
            <v>CONECTOR DE UMA DESCIDA PARA CABO 35MM2</v>
          </cell>
          <cell r="C748" t="str">
            <v>UN</v>
          </cell>
          <cell r="D748">
            <v>5.64</v>
          </cell>
          <cell r="E748">
            <v>0</v>
          </cell>
        </row>
        <row r="749">
          <cell r="A749">
            <v>48035</v>
          </cell>
          <cell r="B749" t="str">
            <v>HASTE TIPO COPPERWELD - 5/8"X2.4M</v>
          </cell>
          <cell r="C749" t="str">
            <v>UN</v>
          </cell>
          <cell r="D749">
            <v>23.48</v>
          </cell>
          <cell r="E749">
            <v>0</v>
          </cell>
        </row>
        <row r="750">
          <cell r="A750">
            <v>48036</v>
          </cell>
          <cell r="B750" t="str">
            <v>CAPTOR C/ ROSCA ACO INOX Ø 3/4" X 350MM, TEL-036</v>
          </cell>
          <cell r="C750" t="str">
            <v>UN</v>
          </cell>
          <cell r="D750">
            <v>44.84</v>
          </cell>
          <cell r="E750">
            <v>0</v>
          </cell>
        </row>
        <row r="751">
          <cell r="A751">
            <v>48038</v>
          </cell>
          <cell r="B751" t="str">
            <v>ABRAC. GUIA MASTRO REFOR 1 DESC 11/2" TEL-340</v>
          </cell>
          <cell r="C751" t="str">
            <v>UN</v>
          </cell>
          <cell r="D751">
            <v>8.17</v>
          </cell>
          <cell r="E751">
            <v>0</v>
          </cell>
        </row>
        <row r="752">
          <cell r="A752">
            <v>48041</v>
          </cell>
          <cell r="B752" t="str">
            <v>PARA-RAIOS PARA SISTEMA ATERRADO TENSÃO 12KV</v>
          </cell>
          <cell r="C752" t="str">
            <v>UN</v>
          </cell>
          <cell r="D752">
            <v>162.30000000000001</v>
          </cell>
          <cell r="E752">
            <v>0</v>
          </cell>
        </row>
        <row r="753">
          <cell r="A753">
            <v>48050</v>
          </cell>
          <cell r="B753" t="str">
            <v>ABRACADEIRA GUIA REFORCADA P/1 DESCIDA DIAM. 2"</v>
          </cell>
          <cell r="C753" t="str">
            <v>UN</v>
          </cell>
          <cell r="D753">
            <v>8.86</v>
          </cell>
          <cell r="E753">
            <v>0</v>
          </cell>
        </row>
        <row r="754">
          <cell r="A754">
            <v>48051</v>
          </cell>
          <cell r="B754" t="str">
            <v>ABRACADEIRA GUIA SIMPLES P/1 DESCIDA DIAM. 2"</v>
          </cell>
          <cell r="C754" t="str">
            <v>UN</v>
          </cell>
          <cell r="D754">
            <v>7.44</v>
          </cell>
          <cell r="E754">
            <v>0</v>
          </cell>
        </row>
        <row r="755">
          <cell r="A755">
            <v>48052</v>
          </cell>
          <cell r="B755" t="str">
            <v>ABRACADEIRA TIPO CHUMBADOR P/ ELETRODUTO 2"</v>
          </cell>
          <cell r="C755" t="str">
            <v>UN</v>
          </cell>
          <cell r="D755">
            <v>8.6199999999999992</v>
          </cell>
          <cell r="E755">
            <v>0</v>
          </cell>
        </row>
        <row r="756">
          <cell r="A756">
            <v>48053</v>
          </cell>
          <cell r="B756" t="str">
            <v>CONECTOR P/ MEDICAO C/ 4 PARAFUSOS 5/16"</v>
          </cell>
          <cell r="C756" t="str">
            <v>UN</v>
          </cell>
          <cell r="D756">
            <v>17.100000000000001</v>
          </cell>
          <cell r="E756">
            <v>0</v>
          </cell>
        </row>
        <row r="757">
          <cell r="A757">
            <v>48054</v>
          </cell>
          <cell r="B757" t="str">
            <v>CONECTOR DE PRESSAO P/CABO DE COBRE DE 35 MM2</v>
          </cell>
          <cell r="C757" t="str">
            <v>UN</v>
          </cell>
          <cell r="D757">
            <v>3.74</v>
          </cell>
          <cell r="E757">
            <v>0</v>
          </cell>
        </row>
        <row r="758">
          <cell r="A758">
            <v>48055</v>
          </cell>
          <cell r="B758" t="str">
            <v>SUPORTE ISOLADOR P/APLICACAO EM QUINAS DE 90 GRAUS</v>
          </cell>
          <cell r="C758" t="str">
            <v>UN</v>
          </cell>
          <cell r="D758">
            <v>7.7</v>
          </cell>
          <cell r="E758">
            <v>0</v>
          </cell>
        </row>
        <row r="759">
          <cell r="A759">
            <v>48056</v>
          </cell>
          <cell r="B759" t="str">
            <v>SUPORTE ISOLADOR C/ROLDANA P/APARAFUSAR C/CHAPA</v>
          </cell>
          <cell r="C759" t="str">
            <v>UN</v>
          </cell>
          <cell r="D759">
            <v>3.4</v>
          </cell>
          <cell r="E759">
            <v>0</v>
          </cell>
        </row>
        <row r="760">
          <cell r="A760">
            <v>48057</v>
          </cell>
          <cell r="B760" t="str">
            <v>SUPORTE ISOLADOR REFORCADO P/APARAFUSAR C/CHAPA</v>
          </cell>
          <cell r="C760" t="str">
            <v>UN</v>
          </cell>
          <cell r="D760">
            <v>4.4400000000000004</v>
          </cell>
          <cell r="E760">
            <v>0</v>
          </cell>
        </row>
        <row r="761">
          <cell r="A761">
            <v>48064</v>
          </cell>
          <cell r="B761" t="str">
            <v>ABRAC. GUIA P/ MASRO REFOR 1 DESC 2" TEL-350</v>
          </cell>
          <cell r="C761" t="str">
            <v>UN</v>
          </cell>
          <cell r="D761">
            <v>8.86</v>
          </cell>
          <cell r="E761">
            <v>0</v>
          </cell>
        </row>
        <row r="762">
          <cell r="A762">
            <v>48067</v>
          </cell>
          <cell r="B762" t="str">
            <v>FIXADOR TIPO ÕMEGA LATAO FURO 5.5MM P/ CABO 35MM2</v>
          </cell>
          <cell r="C762" t="str">
            <v>UN</v>
          </cell>
          <cell r="D762">
            <v>1.08</v>
          </cell>
          <cell r="E762">
            <v>0</v>
          </cell>
        </row>
        <row r="763">
          <cell r="A763">
            <v>48070</v>
          </cell>
          <cell r="B763" t="str">
            <v>PRESILHA PARA CABO DE COBRE DE 35MM2 - REF TEL 744</v>
          </cell>
          <cell r="C763" t="str">
            <v>UN</v>
          </cell>
          <cell r="D763">
            <v>0.9</v>
          </cell>
          <cell r="E763">
            <v>0</v>
          </cell>
        </row>
        <row r="764">
          <cell r="A764">
            <v>48085</v>
          </cell>
          <cell r="B764" t="str">
            <v>BASE PARA MASTRO EM FERRO GALV. P/TUBO 1 1/2"</v>
          </cell>
          <cell r="C764" t="str">
            <v>UN</v>
          </cell>
          <cell r="D764">
            <v>32.67</v>
          </cell>
          <cell r="E764">
            <v>0</v>
          </cell>
        </row>
        <row r="765">
          <cell r="A765">
            <v>48120</v>
          </cell>
          <cell r="B765" t="str">
            <v>ABRACADEIRA GUIA SIMPLES P/1 DESCIDA 2" TEL 330</v>
          </cell>
          <cell r="C765" t="str">
            <v>UN</v>
          </cell>
          <cell r="D765">
            <v>7.44</v>
          </cell>
          <cell r="E765">
            <v>0</v>
          </cell>
        </row>
        <row r="766">
          <cell r="A766">
            <v>48145</v>
          </cell>
          <cell r="B766" t="str">
            <v>TAMPÃO PARA ELETRODUTO 1", REF. TEL-5533</v>
          </cell>
          <cell r="C766" t="str">
            <v>UN</v>
          </cell>
          <cell r="D766">
            <v>2.0499999999999998</v>
          </cell>
          <cell r="E766">
            <v>0</v>
          </cell>
        </row>
        <row r="767">
          <cell r="A767">
            <v>48146</v>
          </cell>
          <cell r="B767" t="str">
            <v>TERMINAL COMPRESSÃO COBRE ESTANHADO 50MM2 TEL 5150</v>
          </cell>
          <cell r="C767" t="str">
            <v>UN</v>
          </cell>
          <cell r="D767">
            <v>2.08</v>
          </cell>
          <cell r="E767">
            <v>0</v>
          </cell>
        </row>
        <row r="768">
          <cell r="A768">
            <v>48149</v>
          </cell>
          <cell r="B768" t="str">
            <v>MAO FRANCESA REFORÇADA P/ ELETROCALHA COM 40CM</v>
          </cell>
          <cell r="C768" t="str">
            <v>UN</v>
          </cell>
          <cell r="D768">
            <v>19.71</v>
          </cell>
          <cell r="E768">
            <v>0</v>
          </cell>
        </row>
        <row r="769">
          <cell r="A769">
            <v>48150</v>
          </cell>
          <cell r="B769" t="str">
            <v>TAMPA DE ENCAIXE P/ ELETROCALHA CH18, 400MM</v>
          </cell>
          <cell r="C769" t="str">
            <v>M</v>
          </cell>
          <cell r="D769">
            <v>22.2</v>
          </cell>
          <cell r="E769">
            <v>0</v>
          </cell>
        </row>
        <row r="770">
          <cell r="A770">
            <v>48151</v>
          </cell>
          <cell r="B770" t="str">
            <v>TAMPA DE ENCAIXE P/ ELETROCALHA CH18, 300MM</v>
          </cell>
          <cell r="C770" t="str">
            <v>M</v>
          </cell>
          <cell r="D770">
            <v>16.97</v>
          </cell>
          <cell r="E770">
            <v>0</v>
          </cell>
        </row>
        <row r="771">
          <cell r="A771">
            <v>48152</v>
          </cell>
          <cell r="B771" t="str">
            <v>TAMPA DE ENCAIXE P/ ELETROCALHA CH18, 150MM</v>
          </cell>
          <cell r="C771" t="str">
            <v>M</v>
          </cell>
          <cell r="D771">
            <v>8.89</v>
          </cell>
          <cell r="E771">
            <v>0</v>
          </cell>
        </row>
        <row r="772">
          <cell r="A772">
            <v>48340</v>
          </cell>
          <cell r="B772" t="str">
            <v>CAIXA DE INSPEÇÃO DE PVC - TEL-552</v>
          </cell>
          <cell r="C772" t="str">
            <v>UN</v>
          </cell>
          <cell r="D772">
            <v>28.69</v>
          </cell>
          <cell r="E772">
            <v>0</v>
          </cell>
        </row>
        <row r="773">
          <cell r="A773">
            <v>48341</v>
          </cell>
          <cell r="B773" t="str">
            <v>TAMPA REFORCADA EM FºFº C/ ESCOTILHA - TEL-536</v>
          </cell>
          <cell r="C773" t="str">
            <v>UN</v>
          </cell>
          <cell r="D773">
            <v>53.73</v>
          </cell>
          <cell r="E773">
            <v>0</v>
          </cell>
        </row>
        <row r="774">
          <cell r="A774">
            <v>48342</v>
          </cell>
          <cell r="B774" t="str">
            <v>ISOLADOR ROLDANA 0,6KV</v>
          </cell>
          <cell r="C774" t="str">
            <v>UN</v>
          </cell>
          <cell r="D774">
            <v>3.58</v>
          </cell>
          <cell r="E774">
            <v>0</v>
          </cell>
        </row>
        <row r="775">
          <cell r="A775">
            <v>48390</v>
          </cell>
          <cell r="B775" t="str">
            <v>ELETROCALHA CH 16 PERFURADA 150X50MM S/ TAMPA</v>
          </cell>
          <cell r="C775" t="str">
            <v>M</v>
          </cell>
          <cell r="D775">
            <v>18.309999999999999</v>
          </cell>
          <cell r="E775">
            <v>0</v>
          </cell>
        </row>
        <row r="776">
          <cell r="A776">
            <v>48444</v>
          </cell>
          <cell r="B776" t="str">
            <v>PARAFUSO CAB QUADRADA ACO GALV 1020 16X300MM</v>
          </cell>
          <cell r="C776" t="str">
            <v>UN</v>
          </cell>
          <cell r="D776">
            <v>9.02</v>
          </cell>
          <cell r="E776">
            <v>0</v>
          </cell>
        </row>
        <row r="777">
          <cell r="A777">
            <v>48458</v>
          </cell>
          <cell r="B777" t="str">
            <v>ABRACADEIRA TIPO D 1" REF. TEL-095</v>
          </cell>
          <cell r="C777" t="str">
            <v>UN</v>
          </cell>
          <cell r="D777">
            <v>0.77</v>
          </cell>
          <cell r="E777">
            <v>0</v>
          </cell>
        </row>
        <row r="778">
          <cell r="A778">
            <v>48474</v>
          </cell>
          <cell r="B778" t="str">
            <v>TERMINAL CABO-BARRA EM LATÃO 2 X # 240 MM2</v>
          </cell>
          <cell r="C778" t="str">
            <v>UN</v>
          </cell>
          <cell r="D778">
            <v>106.42</v>
          </cell>
          <cell r="E778">
            <v>0</v>
          </cell>
        </row>
        <row r="779">
          <cell r="A779">
            <v>48502</v>
          </cell>
          <cell r="B779" t="str">
            <v>BUCHA DE ALUMINIO FUNDIDO 3/4"</v>
          </cell>
          <cell r="C779" t="str">
            <v>UN</v>
          </cell>
          <cell r="D779">
            <v>0.48</v>
          </cell>
          <cell r="E779">
            <v>0</v>
          </cell>
        </row>
        <row r="780">
          <cell r="A780">
            <v>48503</v>
          </cell>
          <cell r="B780" t="str">
            <v>BUCHA DE ALUMINIO FUNDIDO 1"</v>
          </cell>
          <cell r="C780" t="str">
            <v>UN</v>
          </cell>
          <cell r="D780">
            <v>0.66</v>
          </cell>
          <cell r="E780">
            <v>0</v>
          </cell>
        </row>
        <row r="781">
          <cell r="A781">
            <v>48505</v>
          </cell>
          <cell r="B781" t="str">
            <v>BUCHA DE ALUMINIO FUNDIDO 1 1/2"</v>
          </cell>
          <cell r="C781" t="str">
            <v>UN</v>
          </cell>
          <cell r="D781">
            <v>0.96</v>
          </cell>
          <cell r="E781">
            <v>0</v>
          </cell>
        </row>
        <row r="782">
          <cell r="A782">
            <v>48506</v>
          </cell>
          <cell r="B782" t="str">
            <v>BUCHA DE ALUMINIO FUNDIDO 2"</v>
          </cell>
          <cell r="C782" t="str">
            <v>UN</v>
          </cell>
          <cell r="D782">
            <v>1.46</v>
          </cell>
          <cell r="E782">
            <v>0</v>
          </cell>
        </row>
        <row r="783">
          <cell r="A783">
            <v>48508</v>
          </cell>
          <cell r="B783" t="str">
            <v>BUCHA DE ALUMINIO FUNDIDO 3"</v>
          </cell>
          <cell r="C783" t="str">
            <v>UN</v>
          </cell>
          <cell r="D783">
            <v>2.7</v>
          </cell>
          <cell r="E783">
            <v>0</v>
          </cell>
        </row>
        <row r="784">
          <cell r="A784">
            <v>48510</v>
          </cell>
          <cell r="B784" t="str">
            <v>BUCHA DE ALUMINIO FUNDIDO 4"</v>
          </cell>
          <cell r="C784" t="str">
            <v>UN</v>
          </cell>
          <cell r="D784">
            <v>3.87</v>
          </cell>
          <cell r="E784">
            <v>0</v>
          </cell>
        </row>
        <row r="785">
          <cell r="A785">
            <v>48512</v>
          </cell>
          <cell r="B785" t="str">
            <v>BUCHA DE ALUMINIO FUNDIDO 6"</v>
          </cell>
          <cell r="C785" t="str">
            <v>UN</v>
          </cell>
          <cell r="D785">
            <v>29.46</v>
          </cell>
          <cell r="E785">
            <v>0</v>
          </cell>
        </row>
        <row r="786">
          <cell r="A786">
            <v>48516</v>
          </cell>
          <cell r="B786" t="str">
            <v>ARRUELA DE ALUMINIO FUNDIDO 3/4"</v>
          </cell>
          <cell r="C786" t="str">
            <v>UN</v>
          </cell>
          <cell r="D786">
            <v>0.3</v>
          </cell>
          <cell r="E786">
            <v>0</v>
          </cell>
        </row>
        <row r="787">
          <cell r="A787">
            <v>48517</v>
          </cell>
          <cell r="B787" t="str">
            <v>ARRUELA DE ALUMINIO FUNDIDO 1"</v>
          </cell>
          <cell r="C787" t="str">
            <v>UN</v>
          </cell>
          <cell r="D787">
            <v>0.44</v>
          </cell>
          <cell r="E787">
            <v>0</v>
          </cell>
        </row>
        <row r="788">
          <cell r="A788">
            <v>48519</v>
          </cell>
          <cell r="B788" t="str">
            <v>ARRUELA DE ALUMINIO FUNDIDO 1 1/2"</v>
          </cell>
          <cell r="C788" t="str">
            <v>UN</v>
          </cell>
          <cell r="D788">
            <v>0.9</v>
          </cell>
          <cell r="E788">
            <v>0</v>
          </cell>
        </row>
        <row r="789">
          <cell r="A789">
            <v>48520</v>
          </cell>
          <cell r="B789" t="str">
            <v>ARRUELA DE ALUMINIO FUNDIDO 2"</v>
          </cell>
          <cell r="C789" t="str">
            <v>UN</v>
          </cell>
          <cell r="D789">
            <v>1.1399999999999999</v>
          </cell>
          <cell r="E789">
            <v>0</v>
          </cell>
        </row>
        <row r="790">
          <cell r="A790">
            <v>48522</v>
          </cell>
          <cell r="B790" t="str">
            <v>ARRUELA DE ALUMINIO FUNDIDO 3"</v>
          </cell>
          <cell r="C790" t="str">
            <v>UN</v>
          </cell>
          <cell r="D790">
            <v>1.97</v>
          </cell>
          <cell r="E790">
            <v>0</v>
          </cell>
        </row>
        <row r="791">
          <cell r="A791">
            <v>48524</v>
          </cell>
          <cell r="B791" t="str">
            <v>ARRUELA DE ALUMINIO FUNDIDO 4"</v>
          </cell>
          <cell r="C791" t="str">
            <v>UN</v>
          </cell>
          <cell r="D791">
            <v>3.52</v>
          </cell>
          <cell r="E791">
            <v>0</v>
          </cell>
        </row>
        <row r="792">
          <cell r="A792">
            <v>48525</v>
          </cell>
          <cell r="B792" t="str">
            <v>ARRUELA DE ALUMINIO FUNDIDO 6"</v>
          </cell>
          <cell r="C792" t="str">
            <v>UN</v>
          </cell>
          <cell r="D792">
            <v>18.22</v>
          </cell>
          <cell r="E792">
            <v>0</v>
          </cell>
        </row>
        <row r="793">
          <cell r="A793">
            <v>48534</v>
          </cell>
          <cell r="B793" t="str">
            <v>ABRACADEIRA TIPO "U" P/ FIXACAO ELETRODUTO 3/4"</v>
          </cell>
          <cell r="C793" t="str">
            <v>UN</v>
          </cell>
          <cell r="D793">
            <v>0.82</v>
          </cell>
          <cell r="E793">
            <v>0</v>
          </cell>
        </row>
        <row r="794">
          <cell r="A794">
            <v>48538</v>
          </cell>
          <cell r="B794" t="str">
            <v>ABRAÇADEIRA TIPO U PARA ELETRODUTO DE 1 1/2"</v>
          </cell>
          <cell r="C794" t="str">
            <v>UN</v>
          </cell>
          <cell r="D794">
            <v>1.01</v>
          </cell>
          <cell r="E794">
            <v>0</v>
          </cell>
        </row>
        <row r="795">
          <cell r="A795">
            <v>48553</v>
          </cell>
          <cell r="B795" t="str">
            <v>CABECOTE DE ENTRADA 1" EM ALUMINIO FUNDIDO</v>
          </cell>
          <cell r="C795" t="str">
            <v>UN</v>
          </cell>
          <cell r="D795">
            <v>3.55</v>
          </cell>
          <cell r="E795">
            <v>0</v>
          </cell>
        </row>
        <row r="796">
          <cell r="A796">
            <v>48556</v>
          </cell>
          <cell r="B796" t="str">
            <v>ABRACADEIRA TIPO COPO P/ ELETRODUTO DIAM. 1"</v>
          </cell>
          <cell r="C796" t="str">
            <v>UN</v>
          </cell>
          <cell r="D796">
            <v>1.04</v>
          </cell>
          <cell r="E796">
            <v>0</v>
          </cell>
        </row>
        <row r="797">
          <cell r="A797">
            <v>48589</v>
          </cell>
          <cell r="B797" t="str">
            <v>CABEÇOTE EM AÇO GALVANIZADO DE 4"</v>
          </cell>
          <cell r="C797" t="str">
            <v>UN</v>
          </cell>
          <cell r="D797">
            <v>23.99</v>
          </cell>
          <cell r="E797">
            <v>0</v>
          </cell>
        </row>
        <row r="798">
          <cell r="A798">
            <v>48604</v>
          </cell>
          <cell r="B798" t="str">
            <v>CONJ PARAFUSO, PORCA E ARRUELA LATAO 3/16 X 1"</v>
          </cell>
          <cell r="C798" t="str">
            <v>UN</v>
          </cell>
          <cell r="D798">
            <v>0.99</v>
          </cell>
          <cell r="E798">
            <v>0</v>
          </cell>
        </row>
        <row r="799">
          <cell r="A799">
            <v>48605</v>
          </cell>
          <cell r="B799" t="str">
            <v>CONJ PARAFUSO, PORCA E ARRUELA LATAO 1/4 X 1"</v>
          </cell>
          <cell r="C799" t="str">
            <v>UN</v>
          </cell>
          <cell r="D799">
            <v>1.92</v>
          </cell>
          <cell r="E799">
            <v>0</v>
          </cell>
        </row>
        <row r="800">
          <cell r="A800">
            <v>48606</v>
          </cell>
          <cell r="B800" t="str">
            <v>CONJ PARAFUSO, PORCA E ARRUELA LATAO 5/16 X 11/4"</v>
          </cell>
          <cell r="C800" t="str">
            <v>UN</v>
          </cell>
          <cell r="D800">
            <v>3.88</v>
          </cell>
          <cell r="E800">
            <v>0</v>
          </cell>
        </row>
        <row r="801">
          <cell r="A801">
            <v>48607</v>
          </cell>
          <cell r="B801" t="str">
            <v>CONJ PARAFUSO, PORCA E ARRUELA LATAO 3/8 X 11/2"</v>
          </cell>
          <cell r="C801" t="str">
            <v>UN</v>
          </cell>
          <cell r="D801">
            <v>5.16</v>
          </cell>
          <cell r="E801">
            <v>0</v>
          </cell>
        </row>
        <row r="802">
          <cell r="A802">
            <v>48634</v>
          </cell>
          <cell r="B802" t="str">
            <v>TAMPA DE ENCAIXE P/ ELETROCALHA CH18, 200MM</v>
          </cell>
          <cell r="C802" t="str">
            <v>M</v>
          </cell>
          <cell r="D802">
            <v>11.96</v>
          </cell>
          <cell r="E802">
            <v>0</v>
          </cell>
        </row>
        <row r="803">
          <cell r="A803">
            <v>48678</v>
          </cell>
          <cell r="B803" t="str">
            <v>BUCHA C/ ARRUELA LIGA ESP ZAMAK ELET 11/4"</v>
          </cell>
          <cell r="C803" t="str">
            <v>UN</v>
          </cell>
          <cell r="D803">
            <v>1.45</v>
          </cell>
          <cell r="E803">
            <v>0</v>
          </cell>
        </row>
        <row r="804">
          <cell r="A804">
            <v>48679</v>
          </cell>
          <cell r="B804" t="str">
            <v>BUCHA C/ ARRUELA LIGA ESP ZAMAK ELET 2"</v>
          </cell>
          <cell r="C804" t="str">
            <v>UN</v>
          </cell>
          <cell r="D804">
            <v>3.21</v>
          </cell>
          <cell r="E804">
            <v>0</v>
          </cell>
        </row>
        <row r="805">
          <cell r="A805">
            <v>48680</v>
          </cell>
          <cell r="B805" t="str">
            <v>BUCHA C/ ARRUELA LIGA ESP ZAMAK ELET 3"</v>
          </cell>
          <cell r="C805" t="str">
            <v>UN</v>
          </cell>
          <cell r="D805">
            <v>4.45</v>
          </cell>
          <cell r="E805">
            <v>0</v>
          </cell>
        </row>
        <row r="806">
          <cell r="A806">
            <v>48701</v>
          </cell>
          <cell r="B806" t="str">
            <v>BARRA CHATA ALUM DIM. 7/8"X1/8" -TEL 771</v>
          </cell>
          <cell r="C806" t="str">
            <v>M</v>
          </cell>
          <cell r="D806">
            <v>10.77</v>
          </cell>
          <cell r="E806">
            <v>0</v>
          </cell>
        </row>
        <row r="807">
          <cell r="A807">
            <v>48730</v>
          </cell>
          <cell r="B807" t="str">
            <v>NIPLE EM FERRO GALVANIZADO 4"</v>
          </cell>
          <cell r="C807" t="str">
            <v>UN</v>
          </cell>
          <cell r="D807">
            <v>48.44</v>
          </cell>
          <cell r="E807">
            <v>0</v>
          </cell>
        </row>
        <row r="808">
          <cell r="A808">
            <v>48744</v>
          </cell>
          <cell r="B808" t="str">
            <v>CAPTOR C/ ROSCA LATAO CROM Ø 3/4" X 250MM, TEL-010</v>
          </cell>
          <cell r="C808" t="str">
            <v>UN</v>
          </cell>
          <cell r="D808">
            <v>40.03</v>
          </cell>
          <cell r="E808">
            <v>0</v>
          </cell>
        </row>
        <row r="809">
          <cell r="A809">
            <v>48747</v>
          </cell>
          <cell r="B809" t="str">
            <v>PARAFUSO M6X45MM, TEL-5346</v>
          </cell>
          <cell r="C809" t="str">
            <v>UN</v>
          </cell>
          <cell r="D809">
            <v>0.57999999999999996</v>
          </cell>
          <cell r="E809">
            <v>0</v>
          </cell>
        </row>
        <row r="810">
          <cell r="A810">
            <v>48763</v>
          </cell>
          <cell r="B810" t="str">
            <v>CORDOALHA CHATA FLEX. 100X25MM 2 FUROS TEL 5701</v>
          </cell>
          <cell r="C810" t="str">
            <v>UN</v>
          </cell>
          <cell r="D810">
            <v>11.27</v>
          </cell>
          <cell r="E810">
            <v>0</v>
          </cell>
        </row>
        <row r="811">
          <cell r="A811">
            <v>48772</v>
          </cell>
          <cell r="B811" t="str">
            <v>ALICATE Z-201</v>
          </cell>
          <cell r="C811" t="str">
            <v>UN</v>
          </cell>
          <cell r="D811">
            <v>136.30000000000001</v>
          </cell>
          <cell r="E811">
            <v>0</v>
          </cell>
        </row>
        <row r="812">
          <cell r="A812">
            <v>48782</v>
          </cell>
          <cell r="B812" t="str">
            <v>TERMINAL AEREO H=25CM, DIM 5/16" - REF. TEL 024</v>
          </cell>
          <cell r="C812" t="str">
            <v>UN</v>
          </cell>
          <cell r="D812">
            <v>18.510000000000002</v>
          </cell>
          <cell r="E812">
            <v>0</v>
          </cell>
        </row>
        <row r="813">
          <cell r="A813">
            <v>48784</v>
          </cell>
          <cell r="B813" t="str">
            <v>CONJ ESTAIAMENTO 2M CADA ESTAIS X 2" TEL 453</v>
          </cell>
          <cell r="C813" t="str">
            <v>UN</v>
          </cell>
          <cell r="D813">
            <v>113.74</v>
          </cell>
          <cell r="E813">
            <v>0</v>
          </cell>
        </row>
        <row r="814">
          <cell r="A814">
            <v>48790</v>
          </cell>
          <cell r="B814" t="str">
            <v>CAIXA ACO EQUIP POT 380X320X175MM - TEL-903</v>
          </cell>
          <cell r="C814" t="str">
            <v>UN</v>
          </cell>
          <cell r="D814">
            <v>251.56</v>
          </cell>
          <cell r="E814">
            <v>0</v>
          </cell>
        </row>
        <row r="815">
          <cell r="A815">
            <v>48794</v>
          </cell>
          <cell r="B815" t="str">
            <v>BARRA CHATA AÇO GALV. FOGO 7/8"X1/8"(3M) TEL-761</v>
          </cell>
          <cell r="C815" t="str">
            <v>UN</v>
          </cell>
          <cell r="D815">
            <v>20.97</v>
          </cell>
          <cell r="E815">
            <v>0</v>
          </cell>
        </row>
        <row r="816">
          <cell r="A816">
            <v>48860</v>
          </cell>
          <cell r="B816" t="str">
            <v>TERMINAL CABO-BARRA EM LATÃO # 150 MM2</v>
          </cell>
          <cell r="C816" t="str">
            <v>UN</v>
          </cell>
          <cell r="D816">
            <v>8.41</v>
          </cell>
          <cell r="E816">
            <v>0</v>
          </cell>
        </row>
        <row r="817">
          <cell r="A817">
            <v>48917</v>
          </cell>
          <cell r="B817" t="str">
            <v>VERGALHAO DE ACO C/ ROSCA 1/4" P/ ELETROCALHA</v>
          </cell>
          <cell r="C817" t="str">
            <v>M</v>
          </cell>
          <cell r="D817">
            <v>2.44</v>
          </cell>
          <cell r="E817">
            <v>0</v>
          </cell>
        </row>
        <row r="818">
          <cell r="A818">
            <v>48926</v>
          </cell>
          <cell r="B818" t="str">
            <v>NIPLE DUPLO PVC 1"</v>
          </cell>
          <cell r="C818" t="str">
            <v>UN</v>
          </cell>
          <cell r="D818">
            <v>1.4</v>
          </cell>
          <cell r="E818">
            <v>0</v>
          </cell>
        </row>
        <row r="819">
          <cell r="A819">
            <v>48986</v>
          </cell>
          <cell r="B819" t="str">
            <v>ELETROCALHA CH 16 PERFURADA 200X100MM S/ TAMPA</v>
          </cell>
          <cell r="C819" t="str">
            <v>M</v>
          </cell>
          <cell r="D819">
            <v>26.31</v>
          </cell>
          <cell r="E819">
            <v>0</v>
          </cell>
        </row>
        <row r="820">
          <cell r="A820">
            <v>48987</v>
          </cell>
          <cell r="B820" t="str">
            <v>MAO FRANCESA REFORCADA P/ ELETROCALHA COM 30CM</v>
          </cell>
          <cell r="C820" t="str">
            <v>UN</v>
          </cell>
          <cell r="D820">
            <v>16.23</v>
          </cell>
          <cell r="E820">
            <v>0</v>
          </cell>
        </row>
        <row r="821">
          <cell r="A821">
            <v>48988</v>
          </cell>
          <cell r="B821" t="str">
            <v>ELETROCALHA CH 16 PERFURADA 400X100MM S/ TAMPA</v>
          </cell>
          <cell r="C821" t="str">
            <v>M</v>
          </cell>
          <cell r="D821">
            <v>45.43</v>
          </cell>
          <cell r="E821">
            <v>0</v>
          </cell>
        </row>
        <row r="822">
          <cell r="A822">
            <v>49002</v>
          </cell>
          <cell r="B822" t="str">
            <v>PARAFUSO CAB QUADRADA ACO GALV 1020 16 X 200 MM</v>
          </cell>
          <cell r="C822" t="str">
            <v>UN</v>
          </cell>
          <cell r="D822">
            <v>7</v>
          </cell>
          <cell r="E822">
            <v>0</v>
          </cell>
        </row>
        <row r="823">
          <cell r="A823">
            <v>49064</v>
          </cell>
          <cell r="B823" t="str">
            <v>SAIDA HORIZONTAL P/ ELETRODUTO 3/4"</v>
          </cell>
          <cell r="C823" t="str">
            <v>UN</v>
          </cell>
          <cell r="D823">
            <v>1.2</v>
          </cell>
          <cell r="E823">
            <v>0</v>
          </cell>
        </row>
        <row r="824">
          <cell r="A824">
            <v>49072</v>
          </cell>
          <cell r="B824" t="str">
            <v>TERMINAL CABO-BARRA EM LATÃO # 240 MM2</v>
          </cell>
          <cell r="C824" t="str">
            <v>UN</v>
          </cell>
          <cell r="D824">
            <v>20.61</v>
          </cell>
          <cell r="E824">
            <v>0</v>
          </cell>
        </row>
        <row r="825">
          <cell r="A825">
            <v>49101</v>
          </cell>
          <cell r="B825" t="str">
            <v>CRUZETA DE MADEIRA 2400X90X135MM</v>
          </cell>
          <cell r="C825" t="str">
            <v>UN</v>
          </cell>
          <cell r="D825">
            <v>250.53</v>
          </cell>
          <cell r="E825">
            <v>0</v>
          </cell>
        </row>
        <row r="826">
          <cell r="A826">
            <v>49104</v>
          </cell>
          <cell r="B826" t="str">
            <v>PORCA QUADRADA DIAM. 16MM</v>
          </cell>
          <cell r="C826" t="str">
            <v>UN</v>
          </cell>
          <cell r="D826">
            <v>0.81</v>
          </cell>
          <cell r="E826">
            <v>0</v>
          </cell>
        </row>
        <row r="827">
          <cell r="A827">
            <v>49112</v>
          </cell>
          <cell r="B827" t="str">
            <v>TERMINAL CABO-BARRA EM LATÃO # 300 MM2</v>
          </cell>
          <cell r="C827" t="str">
            <v>UN</v>
          </cell>
          <cell r="D827">
            <v>31.15</v>
          </cell>
          <cell r="E827">
            <v>0</v>
          </cell>
        </row>
        <row r="828">
          <cell r="A828">
            <v>49123</v>
          </cell>
          <cell r="B828" t="str">
            <v>CANTONEIRA "ZZ" ALTA P/PERFILADO 38/38</v>
          </cell>
          <cell r="C828" t="str">
            <v>UN</v>
          </cell>
          <cell r="D828">
            <v>0.93</v>
          </cell>
          <cell r="E828">
            <v>0</v>
          </cell>
        </row>
        <row r="829">
          <cell r="A829">
            <v>49143</v>
          </cell>
          <cell r="B829" t="str">
            <v>REATOR AFP INT. LÂMPADA VAPOR SÓDIO 400W/220V</v>
          </cell>
          <cell r="C829" t="str">
            <v>UN</v>
          </cell>
          <cell r="D829">
            <v>96.59</v>
          </cell>
          <cell r="E829">
            <v>0</v>
          </cell>
        </row>
        <row r="830">
          <cell r="A830">
            <v>49165</v>
          </cell>
          <cell r="B830" t="str">
            <v>VENT TETO INTERR SIMPLES EXCL ALOJ LUMINARIA</v>
          </cell>
          <cell r="C830" t="str">
            <v>UN</v>
          </cell>
          <cell r="D830">
            <v>96.93</v>
          </cell>
          <cell r="E830">
            <v>0</v>
          </cell>
        </row>
        <row r="831">
          <cell r="A831">
            <v>49227</v>
          </cell>
          <cell r="B831" t="str">
            <v>TERMINAL CABO-BARRA EM LATÃO # 10 MM2</v>
          </cell>
          <cell r="C831" t="str">
            <v>UN</v>
          </cell>
          <cell r="D831">
            <v>1.42</v>
          </cell>
          <cell r="E831">
            <v>0</v>
          </cell>
        </row>
        <row r="832">
          <cell r="A832">
            <v>49228</v>
          </cell>
          <cell r="B832" t="str">
            <v>TERMINAL CABO-BARRA EM LATÃO # 25 MM2</v>
          </cell>
          <cell r="C832" t="str">
            <v>UN</v>
          </cell>
          <cell r="D832">
            <v>1.86</v>
          </cell>
          <cell r="E832">
            <v>0</v>
          </cell>
        </row>
        <row r="833">
          <cell r="A833">
            <v>49241</v>
          </cell>
          <cell r="B833" t="str">
            <v>TERMINAL CABO-BARRA EM LATÃO # 35 MM2</v>
          </cell>
          <cell r="C833" t="str">
            <v>UN</v>
          </cell>
          <cell r="D833">
            <v>1.96</v>
          </cell>
          <cell r="E833">
            <v>0</v>
          </cell>
        </row>
        <row r="834">
          <cell r="A834">
            <v>49242</v>
          </cell>
          <cell r="B834" t="str">
            <v>TERMINAL CABO-BARRA EM LATÃO # 4 MM2</v>
          </cell>
          <cell r="C834" t="str">
            <v>UN</v>
          </cell>
          <cell r="D834">
            <v>1.34</v>
          </cell>
          <cell r="E834">
            <v>0</v>
          </cell>
        </row>
        <row r="835">
          <cell r="A835">
            <v>49243</v>
          </cell>
          <cell r="B835" t="str">
            <v>CONECTOR SPLIT-BOLT (KS) P/CABO 4MM2</v>
          </cell>
          <cell r="C835" t="str">
            <v>UN</v>
          </cell>
          <cell r="D835">
            <v>2.4300000000000002</v>
          </cell>
          <cell r="E835">
            <v>0</v>
          </cell>
        </row>
        <row r="836">
          <cell r="A836">
            <v>49247</v>
          </cell>
          <cell r="B836" t="str">
            <v>CONECTOR SPLIT-BOLT (KS) P/CABO 16MM2</v>
          </cell>
          <cell r="C836" t="str">
            <v>UN</v>
          </cell>
          <cell r="D836">
            <v>3.22</v>
          </cell>
          <cell r="E836">
            <v>0</v>
          </cell>
        </row>
        <row r="837">
          <cell r="A837">
            <v>49249</v>
          </cell>
          <cell r="B837" t="str">
            <v>SUSPENSAO VERTICAL PARA ELETROCALHA 200X100 MM</v>
          </cell>
          <cell r="C837" t="str">
            <v>UN</v>
          </cell>
          <cell r="D837">
            <v>3.06</v>
          </cell>
          <cell r="E837">
            <v>0</v>
          </cell>
        </row>
        <row r="838">
          <cell r="A838">
            <v>49274</v>
          </cell>
          <cell r="B838" t="str">
            <v>TÊ HORIZ 90º P/ ELETROC. PERF 200X100MM</v>
          </cell>
          <cell r="C838" t="str">
            <v>UN</v>
          </cell>
          <cell r="D838">
            <v>38.409999999999997</v>
          </cell>
          <cell r="E838">
            <v>0</v>
          </cell>
        </row>
        <row r="839">
          <cell r="A839">
            <v>49275</v>
          </cell>
          <cell r="B839" t="str">
            <v>TÊ HORIZ 90º P/ ELETROC. PERF 300X100MM</v>
          </cell>
          <cell r="C839" t="str">
            <v>UN</v>
          </cell>
          <cell r="D839">
            <v>48.56</v>
          </cell>
          <cell r="E839">
            <v>0</v>
          </cell>
        </row>
        <row r="840">
          <cell r="A840">
            <v>49289</v>
          </cell>
          <cell r="B840" t="str">
            <v>SUPORTE ANGULAR P/ELETROCALHA DE 30X10CM</v>
          </cell>
          <cell r="C840" t="str">
            <v>UN</v>
          </cell>
          <cell r="D840">
            <v>3.93</v>
          </cell>
          <cell r="E840">
            <v>0</v>
          </cell>
        </row>
        <row r="841">
          <cell r="A841">
            <v>49408</v>
          </cell>
          <cell r="B841" t="str">
            <v>CONECTOR P/CABO 50MM2 TIPO KS BURNDY</v>
          </cell>
          <cell r="C841" t="str">
            <v>UN</v>
          </cell>
          <cell r="D841">
            <v>4.95</v>
          </cell>
          <cell r="E841">
            <v>0</v>
          </cell>
        </row>
        <row r="842">
          <cell r="A842">
            <v>49424</v>
          </cell>
          <cell r="B842" t="str">
            <v>CONECTOR SPLIT-BOLT (KS) 35MM2 REF. TEL-5015</v>
          </cell>
          <cell r="C842" t="str">
            <v>UN</v>
          </cell>
          <cell r="D842">
            <v>3.72</v>
          </cell>
          <cell r="E842">
            <v>0</v>
          </cell>
        </row>
        <row r="843">
          <cell r="A843">
            <v>49428</v>
          </cell>
          <cell r="B843" t="str">
            <v>SAIDA HORIZONTAL P/ELETRODUTO Ø 1"</v>
          </cell>
          <cell r="C843" t="str">
            <v>UN</v>
          </cell>
          <cell r="D843">
            <v>1.2</v>
          </cell>
          <cell r="E843">
            <v>0</v>
          </cell>
        </row>
        <row r="844">
          <cell r="A844">
            <v>49433</v>
          </cell>
          <cell r="B844" t="str">
            <v>CONECTOR P/CABO 25MM2 TIPO KS BURNDY</v>
          </cell>
          <cell r="C844" t="str">
            <v>UN</v>
          </cell>
          <cell r="D844">
            <v>2.91</v>
          </cell>
          <cell r="E844">
            <v>0</v>
          </cell>
        </row>
        <row r="845">
          <cell r="A845">
            <v>49459</v>
          </cell>
          <cell r="B845" t="str">
            <v>MASTRO GALV. FOGO 5M TELESCÓPICO TEL-480</v>
          </cell>
          <cell r="C845" t="str">
            <v>UN</v>
          </cell>
          <cell r="D845">
            <v>182.62</v>
          </cell>
          <cell r="E845">
            <v>0</v>
          </cell>
        </row>
        <row r="846">
          <cell r="A846">
            <v>49463</v>
          </cell>
          <cell r="B846" t="str">
            <v>CURVA HORIZ 90º P/ELETR.200X100MM GAL PERF</v>
          </cell>
          <cell r="C846" t="str">
            <v>UN</v>
          </cell>
          <cell r="D846">
            <v>32.29</v>
          </cell>
          <cell r="E846">
            <v>0</v>
          </cell>
        </row>
        <row r="847">
          <cell r="A847">
            <v>49464</v>
          </cell>
          <cell r="B847" t="str">
            <v>CURVA HORIZ 90º P/ELETR.300X100MM GAL.PERF.</v>
          </cell>
          <cell r="C847" t="str">
            <v>UN</v>
          </cell>
          <cell r="D847">
            <v>39.94</v>
          </cell>
          <cell r="E847">
            <v>0</v>
          </cell>
        </row>
        <row r="848">
          <cell r="A848">
            <v>49488</v>
          </cell>
          <cell r="B848" t="str">
            <v>CURSOR P/FITA WALSIWA ERAFLEX</v>
          </cell>
          <cell r="C848" t="str">
            <v>UN</v>
          </cell>
          <cell r="D848">
            <v>1.1299999999999999</v>
          </cell>
          <cell r="E848">
            <v>0</v>
          </cell>
        </row>
        <row r="849">
          <cell r="A849">
            <v>49492</v>
          </cell>
          <cell r="B849" t="str">
            <v>PARAFUSO CAB ABAULADA ACO GALV 1020 16X45MM</v>
          </cell>
          <cell r="C849" t="str">
            <v>UN</v>
          </cell>
          <cell r="D849">
            <v>2.54</v>
          </cell>
          <cell r="E849">
            <v>0</v>
          </cell>
        </row>
        <row r="850">
          <cell r="A850">
            <v>49493</v>
          </cell>
          <cell r="B850" t="str">
            <v>PARAFUSO CAB ABAULADA ACO GALV 1020 16 X 125MM</v>
          </cell>
          <cell r="C850" t="str">
            <v>UN</v>
          </cell>
          <cell r="D850">
            <v>4.0999999999999996</v>
          </cell>
          <cell r="E850">
            <v>0</v>
          </cell>
        </row>
        <row r="851">
          <cell r="A851">
            <v>49502</v>
          </cell>
          <cell r="B851" t="str">
            <v>PORCA QUADRADA PARA PARAFUSO M16</v>
          </cell>
          <cell r="C851" t="str">
            <v>UN</v>
          </cell>
          <cell r="D851">
            <v>0.81</v>
          </cell>
          <cell r="E851">
            <v>0</v>
          </cell>
        </row>
        <row r="852">
          <cell r="A852">
            <v>49503</v>
          </cell>
          <cell r="B852" t="str">
            <v>FITA ISOLANTE NR 33 - 19MM X 20M</v>
          </cell>
          <cell r="C852" t="str">
            <v>UN</v>
          </cell>
          <cell r="D852">
            <v>13.26</v>
          </cell>
          <cell r="E852">
            <v>0</v>
          </cell>
        </row>
        <row r="853">
          <cell r="A853">
            <v>49505</v>
          </cell>
          <cell r="B853" t="str">
            <v>BOCAL PORCELANA C/ ROSCA P/ LAMPADA INCANDESCENTE</v>
          </cell>
          <cell r="C853" t="str">
            <v>UN</v>
          </cell>
          <cell r="D853">
            <v>2.23</v>
          </cell>
          <cell r="E853">
            <v>0</v>
          </cell>
        </row>
        <row r="854">
          <cell r="A854">
            <v>49506</v>
          </cell>
          <cell r="B854" t="str">
            <v>OLHAL FERRO GALVANIZADO COM PARAFUSO 16X150MM</v>
          </cell>
          <cell r="C854" t="str">
            <v>UN</v>
          </cell>
          <cell r="D854">
            <v>16.11</v>
          </cell>
          <cell r="E854">
            <v>0</v>
          </cell>
        </row>
        <row r="855">
          <cell r="A855">
            <v>49507</v>
          </cell>
          <cell r="B855" t="str">
            <v>SAPATILHA</v>
          </cell>
          <cell r="C855" t="str">
            <v>UN</v>
          </cell>
          <cell r="D855">
            <v>4.8099999999999996</v>
          </cell>
          <cell r="E855">
            <v>0</v>
          </cell>
        </row>
        <row r="856">
          <cell r="A856">
            <v>49509</v>
          </cell>
          <cell r="B856" t="str">
            <v>CRUZETA DE MADEIRA 2400MM PARA TRANSFORMADOR</v>
          </cell>
          <cell r="C856" t="str">
            <v>UN</v>
          </cell>
          <cell r="D856">
            <v>156.77000000000001</v>
          </cell>
          <cell r="E856">
            <v>0</v>
          </cell>
        </row>
        <row r="857">
          <cell r="A857">
            <v>49510</v>
          </cell>
          <cell r="B857" t="str">
            <v>TAMPA DE FERRO R2 P/CX.TELF.TELEST 1070X520X500 MM</v>
          </cell>
          <cell r="C857" t="str">
            <v>UN</v>
          </cell>
          <cell r="D857">
            <v>511.84</v>
          </cell>
          <cell r="E857">
            <v>0</v>
          </cell>
        </row>
        <row r="858">
          <cell r="A858">
            <v>49512</v>
          </cell>
          <cell r="B858" t="str">
            <v>MAO FRANCESA ACO GALVANIZADO 710MM</v>
          </cell>
          <cell r="C858" t="str">
            <v>UN</v>
          </cell>
          <cell r="D858">
            <v>30.4</v>
          </cell>
          <cell r="E858">
            <v>0</v>
          </cell>
        </row>
        <row r="859">
          <cell r="A859">
            <v>49514</v>
          </cell>
          <cell r="B859" t="str">
            <v>SELA PARA CRUZETA DE MADEIRA</v>
          </cell>
          <cell r="C859" t="str">
            <v>UN</v>
          </cell>
          <cell r="D859">
            <v>9.85</v>
          </cell>
          <cell r="E859">
            <v>0</v>
          </cell>
        </row>
        <row r="860">
          <cell r="A860">
            <v>49515</v>
          </cell>
          <cell r="B860" t="str">
            <v>SUPORTE PARA TRANSFORMADOR 400MM</v>
          </cell>
          <cell r="C860" t="str">
            <v>UN</v>
          </cell>
          <cell r="D860">
            <v>225.69</v>
          </cell>
          <cell r="E860">
            <v>0</v>
          </cell>
        </row>
        <row r="861">
          <cell r="A861">
            <v>49521</v>
          </cell>
          <cell r="B861" t="str">
            <v>CONECTOR SPLIT-BOLT (KS) P/CABO 35MM2</v>
          </cell>
          <cell r="C861" t="str">
            <v>UN</v>
          </cell>
          <cell r="D861">
            <v>4.57</v>
          </cell>
          <cell r="E861">
            <v>0</v>
          </cell>
        </row>
        <row r="862">
          <cell r="A862">
            <v>49537</v>
          </cell>
          <cell r="B862" t="str">
            <v>PARAFUSO ABAULADO M16X150MM</v>
          </cell>
          <cell r="C862" t="str">
            <v>UN</v>
          </cell>
          <cell r="D862">
            <v>5.4</v>
          </cell>
          <cell r="E862">
            <v>0</v>
          </cell>
        </row>
        <row r="863">
          <cell r="A863">
            <v>49556</v>
          </cell>
          <cell r="B863" t="str">
            <v>VENTILADOR TETO BASE MAD CONJUGADO C/ LUMINARIA</v>
          </cell>
          <cell r="C863" t="str">
            <v>UN</v>
          </cell>
          <cell r="D863">
            <v>103.4</v>
          </cell>
          <cell r="E863">
            <v>0</v>
          </cell>
        </row>
        <row r="864">
          <cell r="A864">
            <v>49565</v>
          </cell>
          <cell r="B864" t="str">
            <v>CABECOTE DE ALUMINIO FUNDIDO 3"</v>
          </cell>
          <cell r="C864" t="str">
            <v>UN</v>
          </cell>
          <cell r="D864">
            <v>15.77</v>
          </cell>
          <cell r="E864">
            <v>0</v>
          </cell>
        </row>
        <row r="865">
          <cell r="A865">
            <v>49566</v>
          </cell>
          <cell r="B865" t="str">
            <v>CABECOTE DE ALUMINIO FUNDIDO 3/4"</v>
          </cell>
          <cell r="C865" t="str">
            <v>UN</v>
          </cell>
          <cell r="D865">
            <v>2.75</v>
          </cell>
          <cell r="E865">
            <v>0</v>
          </cell>
        </row>
        <row r="866">
          <cell r="A866">
            <v>49567</v>
          </cell>
          <cell r="B866" t="str">
            <v>CINTA CIRCULAR ACO GALVANIZADO 300MM</v>
          </cell>
          <cell r="C866" t="str">
            <v>UN</v>
          </cell>
          <cell r="D866">
            <v>34.49</v>
          </cell>
          <cell r="E866">
            <v>0</v>
          </cell>
        </row>
        <row r="867">
          <cell r="A867">
            <v>49568</v>
          </cell>
          <cell r="B867" t="str">
            <v>CABECOTE DE ALUMINIO FUNDIDO 1 1/2"</v>
          </cell>
          <cell r="C867" t="str">
            <v>UN</v>
          </cell>
          <cell r="D867">
            <v>5.22</v>
          </cell>
          <cell r="E867">
            <v>0</v>
          </cell>
        </row>
        <row r="868">
          <cell r="A868">
            <v>49570</v>
          </cell>
          <cell r="B868" t="str">
            <v>CABECOTE DE ALUMINIO FUNDIDO 1 1/4"</v>
          </cell>
          <cell r="C868" t="str">
            <v>UN</v>
          </cell>
          <cell r="D868">
            <v>4.83</v>
          </cell>
          <cell r="E868">
            <v>0</v>
          </cell>
        </row>
        <row r="869">
          <cell r="A869">
            <v>49579</v>
          </cell>
          <cell r="B869" t="str">
            <v>REATOR EXTERNO VM400 AFP-220V PHILLIPS OU SIMILAR</v>
          </cell>
          <cell r="C869" t="str">
            <v>UN</v>
          </cell>
          <cell r="D869">
            <v>79.83</v>
          </cell>
          <cell r="E869">
            <v>0</v>
          </cell>
        </row>
        <row r="870">
          <cell r="A870">
            <v>49580</v>
          </cell>
          <cell r="B870" t="str">
            <v>CRUZETA DE MADEIRA P/ POSTE CONCRETO 1.4M</v>
          </cell>
          <cell r="C870" t="str">
            <v>UN</v>
          </cell>
          <cell r="D870">
            <v>145.51</v>
          </cell>
          <cell r="E870">
            <v>0</v>
          </cell>
        </row>
        <row r="871">
          <cell r="A871">
            <v>49581</v>
          </cell>
          <cell r="B871" t="str">
            <v>CABECOTE DE ALUMINIO FUNDIDO 2"</v>
          </cell>
          <cell r="C871" t="str">
            <v>UN</v>
          </cell>
          <cell r="D871">
            <v>7.6</v>
          </cell>
          <cell r="E871">
            <v>0</v>
          </cell>
        </row>
        <row r="872">
          <cell r="A872">
            <v>49582</v>
          </cell>
          <cell r="B872" t="str">
            <v>REATOR EXT. P/LAMPADA VAPOR MERCURIO TECNOWATT</v>
          </cell>
          <cell r="C872" t="str">
            <v>UN</v>
          </cell>
          <cell r="D872">
            <v>83.86</v>
          </cell>
          <cell r="E872">
            <v>0</v>
          </cell>
        </row>
        <row r="873">
          <cell r="A873">
            <v>49626</v>
          </cell>
          <cell r="B873" t="str">
            <v>SOQUETE ANTI-VIBRATORIO P/LAMP.FLUOR.PANAM/SIMILAR</v>
          </cell>
          <cell r="C873" t="str">
            <v>UN</v>
          </cell>
          <cell r="D873">
            <v>1.23</v>
          </cell>
          <cell r="E873">
            <v>0</v>
          </cell>
        </row>
        <row r="874">
          <cell r="A874">
            <v>49633</v>
          </cell>
          <cell r="B874" t="str">
            <v>ARRUELA QUADRADA 36MM DE FURO 18MM</v>
          </cell>
          <cell r="C874" t="str">
            <v>UN</v>
          </cell>
          <cell r="D874">
            <v>1.29</v>
          </cell>
          <cell r="E874">
            <v>0</v>
          </cell>
        </row>
        <row r="875">
          <cell r="A875">
            <v>49645</v>
          </cell>
          <cell r="B875" t="str">
            <v>CRUZETA DE MADEIRA 2400X112,5X90 MM</v>
          </cell>
          <cell r="C875" t="str">
            <v>UN</v>
          </cell>
          <cell r="D875">
            <v>183.96</v>
          </cell>
          <cell r="E875">
            <v>0</v>
          </cell>
        </row>
        <row r="876">
          <cell r="A876">
            <v>49654</v>
          </cell>
          <cell r="B876" t="str">
            <v>OLHAL DE FERRO GALVANIZADO C/ PARAFUSO 16X200MM</v>
          </cell>
          <cell r="C876" t="str">
            <v>UN</v>
          </cell>
          <cell r="D876">
            <v>17.920000000000002</v>
          </cell>
          <cell r="E876">
            <v>0</v>
          </cell>
        </row>
        <row r="877">
          <cell r="A877">
            <v>49666</v>
          </cell>
          <cell r="B877" t="str">
            <v>CANTONEIRA DE FERRO 3/16" X 1.1/4" X 1.1/4"</v>
          </cell>
          <cell r="C877" t="str">
            <v>M</v>
          </cell>
          <cell r="D877">
            <v>7.92</v>
          </cell>
          <cell r="E877">
            <v>0</v>
          </cell>
        </row>
        <row r="878">
          <cell r="A878">
            <v>49674</v>
          </cell>
          <cell r="B878" t="str">
            <v>CABECOTE DE ALUMINIO FUNDIDO 4"</v>
          </cell>
          <cell r="C878" t="str">
            <v>UN</v>
          </cell>
          <cell r="D878">
            <v>24.46</v>
          </cell>
          <cell r="E878">
            <v>0</v>
          </cell>
        </row>
        <row r="879">
          <cell r="A879">
            <v>49686</v>
          </cell>
          <cell r="B879" t="str">
            <v>NIPLE PVC DUPLO 4"</v>
          </cell>
          <cell r="C879" t="str">
            <v>UN</v>
          </cell>
          <cell r="D879">
            <v>32.130000000000003</v>
          </cell>
          <cell r="E879">
            <v>0</v>
          </cell>
        </row>
        <row r="880">
          <cell r="A880">
            <v>49694</v>
          </cell>
          <cell r="B880" t="str">
            <v>ARMACAO SECUNDARIA 1 ESTRIBO C/HASTE 16X150MM</v>
          </cell>
          <cell r="C880" t="str">
            <v>UN</v>
          </cell>
          <cell r="D880">
            <v>13.44</v>
          </cell>
          <cell r="E880">
            <v>0</v>
          </cell>
        </row>
        <row r="881">
          <cell r="A881">
            <v>49695</v>
          </cell>
          <cell r="B881" t="str">
            <v>CABECOTE DE ALUMINIO FUNDIDO 6"</v>
          </cell>
          <cell r="C881" t="str">
            <v>UN</v>
          </cell>
          <cell r="D881">
            <v>45.7</v>
          </cell>
          <cell r="E881">
            <v>0</v>
          </cell>
        </row>
        <row r="882">
          <cell r="A882">
            <v>49696</v>
          </cell>
          <cell r="B882" t="str">
            <v>NIPLE PVC DUPLO 6"</v>
          </cell>
          <cell r="C882" t="str">
            <v>UN</v>
          </cell>
          <cell r="D882">
            <v>49.36</v>
          </cell>
          <cell r="E882">
            <v>0</v>
          </cell>
        </row>
        <row r="883">
          <cell r="A883">
            <v>49697</v>
          </cell>
          <cell r="B883" t="str">
            <v>NIPLE PVC DUPLO PVC 2"</v>
          </cell>
          <cell r="C883" t="str">
            <v>UN</v>
          </cell>
          <cell r="D883">
            <v>5.16</v>
          </cell>
          <cell r="E883">
            <v>0</v>
          </cell>
        </row>
        <row r="884">
          <cell r="A884">
            <v>49709</v>
          </cell>
          <cell r="B884" t="str">
            <v>PARAFUSO ABAULADO M10X150MM</v>
          </cell>
          <cell r="C884" t="str">
            <v>UN</v>
          </cell>
          <cell r="D884">
            <v>2.41</v>
          </cell>
          <cell r="E884">
            <v>0</v>
          </cell>
        </row>
        <row r="885">
          <cell r="A885">
            <v>49712</v>
          </cell>
          <cell r="B885" t="str">
            <v>PRENSA FIOS C/ 3 PARAFUSOS</v>
          </cell>
          <cell r="C885" t="str">
            <v>UN</v>
          </cell>
          <cell r="D885">
            <v>35.94</v>
          </cell>
          <cell r="E885">
            <v>0</v>
          </cell>
        </row>
        <row r="886">
          <cell r="A886">
            <v>49729</v>
          </cell>
          <cell r="B886" t="str">
            <v>ELETROC CH16 PERFURADA 300X100MM S/TAMPA</v>
          </cell>
          <cell r="C886" t="str">
            <v>M</v>
          </cell>
          <cell r="D886">
            <v>34.33</v>
          </cell>
          <cell r="E886">
            <v>0</v>
          </cell>
        </row>
        <row r="887">
          <cell r="A887">
            <v>49772</v>
          </cell>
          <cell r="B887" t="str">
            <v>CABEÇOTE EM AÇO GALVANIZADO DE 3"</v>
          </cell>
          <cell r="C887" t="str">
            <v>UN</v>
          </cell>
          <cell r="D887">
            <v>16.02</v>
          </cell>
          <cell r="E887">
            <v>0</v>
          </cell>
        </row>
        <row r="888">
          <cell r="A888">
            <v>49774</v>
          </cell>
          <cell r="B888" t="str">
            <v>PINO DE CRUZETA 19MM P/ISOLADOR DE DISTRIBUICAO</v>
          </cell>
          <cell r="C888" t="str">
            <v>UN</v>
          </cell>
          <cell r="D888">
            <v>15.79</v>
          </cell>
          <cell r="E888">
            <v>0</v>
          </cell>
        </row>
        <row r="889">
          <cell r="A889">
            <v>49791</v>
          </cell>
          <cell r="B889" t="str">
            <v>MAO FRANCESA SIMPLES P/ ELETROCALHA COM 20CM</v>
          </cell>
          <cell r="C889" t="str">
            <v>UN</v>
          </cell>
          <cell r="D889">
            <v>13.84</v>
          </cell>
          <cell r="E889">
            <v>0</v>
          </cell>
        </row>
        <row r="890">
          <cell r="A890">
            <v>49803</v>
          </cell>
          <cell r="B890" t="str">
            <v>TERMINAL CABO-BARRA EM LATÃO # 6 MM2</v>
          </cell>
          <cell r="C890" t="str">
            <v>UN</v>
          </cell>
          <cell r="D890">
            <v>1.36</v>
          </cell>
          <cell r="E890">
            <v>0</v>
          </cell>
        </row>
        <row r="891">
          <cell r="A891">
            <v>49804</v>
          </cell>
          <cell r="B891" t="str">
            <v>TERMINAL CABO-BARRA EM LATÃO # 16 MM2</v>
          </cell>
          <cell r="C891" t="str">
            <v>UN</v>
          </cell>
          <cell r="D891">
            <v>1.47</v>
          </cell>
          <cell r="E891">
            <v>0</v>
          </cell>
        </row>
        <row r="892">
          <cell r="A892">
            <v>49805</v>
          </cell>
          <cell r="B892" t="str">
            <v>TERMINAL CABO-BARRA EM LATÃO # 50 MM2</v>
          </cell>
          <cell r="C892" t="str">
            <v>UN</v>
          </cell>
          <cell r="D892">
            <v>2.67</v>
          </cell>
          <cell r="E892">
            <v>0</v>
          </cell>
        </row>
        <row r="893">
          <cell r="A893">
            <v>49806</v>
          </cell>
          <cell r="B893" t="str">
            <v>TERMINAL CABO-BARRA EM LATÃO # 70 MM2</v>
          </cell>
          <cell r="C893" t="str">
            <v>UN</v>
          </cell>
          <cell r="D893">
            <v>2.84</v>
          </cell>
          <cell r="E893">
            <v>0</v>
          </cell>
        </row>
        <row r="894">
          <cell r="A894">
            <v>49807</v>
          </cell>
          <cell r="B894" t="str">
            <v>TERMINAL CABO-BARRA EM LATÃO # 95 MM2</v>
          </cell>
          <cell r="C894" t="str">
            <v>UN</v>
          </cell>
          <cell r="D894">
            <v>5.18</v>
          </cell>
          <cell r="E894">
            <v>0</v>
          </cell>
        </row>
        <row r="895">
          <cell r="A895">
            <v>49809</v>
          </cell>
          <cell r="B895" t="str">
            <v>TERMINAL CABO-BARRA EM LATÃO # 120 MM2</v>
          </cell>
          <cell r="C895" t="str">
            <v>UN</v>
          </cell>
          <cell r="D895">
            <v>7.92</v>
          </cell>
          <cell r="E895">
            <v>0</v>
          </cell>
        </row>
        <row r="896">
          <cell r="A896">
            <v>49811</v>
          </cell>
          <cell r="B896" t="str">
            <v>TERMINAL CABO-BARRA EM LATÃO # 185 MM2</v>
          </cell>
          <cell r="C896" t="str">
            <v>UN</v>
          </cell>
          <cell r="D896">
            <v>12.48</v>
          </cell>
          <cell r="E896">
            <v>0</v>
          </cell>
        </row>
        <row r="897">
          <cell r="A897">
            <v>49812</v>
          </cell>
          <cell r="B897" t="str">
            <v>TERMINAL CABO-BARRA EM LATÃO 2 X # 185 MM2</v>
          </cell>
          <cell r="C897" t="str">
            <v>UN</v>
          </cell>
          <cell r="D897">
            <v>96.05</v>
          </cell>
          <cell r="E897">
            <v>0</v>
          </cell>
        </row>
        <row r="898">
          <cell r="A898">
            <v>49818</v>
          </cell>
          <cell r="B898" t="str">
            <v>ARRUELA LISA EM LATAO 1/4"</v>
          </cell>
          <cell r="C898" t="str">
            <v>UN</v>
          </cell>
          <cell r="D898">
            <v>0.4</v>
          </cell>
          <cell r="E898">
            <v>0</v>
          </cell>
        </row>
        <row r="899">
          <cell r="A899">
            <v>49861</v>
          </cell>
          <cell r="B899" t="str">
            <v>SAÍDA HORIZONTAL P/ ELETRODUTO Ø2"</v>
          </cell>
          <cell r="C899" t="str">
            <v>UN</v>
          </cell>
          <cell r="D899">
            <v>1.66</v>
          </cell>
          <cell r="E899">
            <v>0</v>
          </cell>
        </row>
        <row r="900">
          <cell r="A900">
            <v>49897</v>
          </cell>
          <cell r="B900" t="str">
            <v>CINTA CIRCULAR ACO GALVANIZADO 200MM</v>
          </cell>
          <cell r="C900" t="str">
            <v>UN</v>
          </cell>
          <cell r="D900">
            <v>27.48</v>
          </cell>
          <cell r="E900">
            <v>0</v>
          </cell>
        </row>
        <row r="901">
          <cell r="A901">
            <v>49905</v>
          </cell>
          <cell r="B901" t="str">
            <v>SUPORTE DE TRANSFORMADOR EM POSTE CONCRETO 225MM</v>
          </cell>
          <cell r="C901" t="str">
            <v>UN</v>
          </cell>
          <cell r="D901">
            <v>105.03</v>
          </cell>
          <cell r="E901">
            <v>0</v>
          </cell>
        </row>
        <row r="902">
          <cell r="A902">
            <v>49959</v>
          </cell>
          <cell r="B902" t="str">
            <v>TERMINAL CABO-BARRA EM LATAO 2X # 300MM2</v>
          </cell>
          <cell r="C902" t="str">
            <v>UN</v>
          </cell>
          <cell r="D902">
            <v>128.13999999999999</v>
          </cell>
          <cell r="E902">
            <v>0</v>
          </cell>
        </row>
        <row r="903">
          <cell r="A903">
            <v>49989</v>
          </cell>
          <cell r="B903" t="str">
            <v>MAO FRANCESA ACO GALV 2" PARA TRANSF EM POSTE</v>
          </cell>
          <cell r="C903" t="str">
            <v>UN</v>
          </cell>
          <cell r="D903">
            <v>13.04</v>
          </cell>
          <cell r="E903">
            <v>0</v>
          </cell>
        </row>
        <row r="904">
          <cell r="A904">
            <v>50128</v>
          </cell>
          <cell r="B904" t="str">
            <v>CONECTOR RJ45 MACHO - PARA REDE DE DADOS</v>
          </cell>
          <cell r="C904" t="str">
            <v>UN</v>
          </cell>
          <cell r="D904">
            <v>0.72</v>
          </cell>
          <cell r="E904">
            <v>0</v>
          </cell>
        </row>
        <row r="905">
          <cell r="A905">
            <v>50163</v>
          </cell>
          <cell r="B905" t="str">
            <v>PRENSA CABOS PARA ELETRODUTO 1/2"</v>
          </cell>
          <cell r="C905" t="str">
            <v>UN</v>
          </cell>
          <cell r="D905">
            <v>2.91</v>
          </cell>
          <cell r="E905">
            <v>0</v>
          </cell>
        </row>
        <row r="906">
          <cell r="A906">
            <v>50164</v>
          </cell>
          <cell r="B906" t="str">
            <v>PRENSA CABOS PARA ELETRODUTO 1"</v>
          </cell>
          <cell r="C906" t="str">
            <v>UN</v>
          </cell>
          <cell r="D906">
            <v>5.1100000000000003</v>
          </cell>
          <cell r="E906">
            <v>0</v>
          </cell>
        </row>
        <row r="907">
          <cell r="A907">
            <v>51002</v>
          </cell>
          <cell r="B907" t="str">
            <v>TOMADA TELEFONE 4 POLOS "TELEBRAS"</v>
          </cell>
          <cell r="C907" t="str">
            <v>UN</v>
          </cell>
          <cell r="D907">
            <v>11.52</v>
          </cell>
          <cell r="E907">
            <v>0</v>
          </cell>
        </row>
        <row r="908">
          <cell r="A908">
            <v>51008</v>
          </cell>
          <cell r="B908" t="str">
            <v>ESPELHO 4X2" C/ 1 CONECTOR RJ-45 FEMEA</v>
          </cell>
          <cell r="C908" t="str">
            <v>UN</v>
          </cell>
          <cell r="D908">
            <v>8.7200000000000006</v>
          </cell>
          <cell r="E908">
            <v>0</v>
          </cell>
        </row>
        <row r="909">
          <cell r="A909">
            <v>51015</v>
          </cell>
          <cell r="B909" t="str">
            <v>TOMADA TELEFONE COM CONECTOR RJ11</v>
          </cell>
          <cell r="C909" t="str">
            <v>UN</v>
          </cell>
          <cell r="D909">
            <v>17.13</v>
          </cell>
          <cell r="E909">
            <v>0</v>
          </cell>
        </row>
        <row r="910">
          <cell r="A910">
            <v>51016</v>
          </cell>
          <cell r="B910" t="str">
            <v>TOMADA COAXIAL 75 OHMS PARA TV C/ ESPELHO 4X2"</v>
          </cell>
          <cell r="C910" t="str">
            <v>UN</v>
          </cell>
          <cell r="D910">
            <v>5.73</v>
          </cell>
          <cell r="E910">
            <v>0</v>
          </cell>
        </row>
        <row r="911">
          <cell r="A911">
            <v>54003</v>
          </cell>
          <cell r="B911" t="str">
            <v>TERMINAL COMPRESSÃO COBRE ESTANHADO TEL 5135</v>
          </cell>
          <cell r="C911" t="str">
            <v>UN</v>
          </cell>
          <cell r="D911">
            <v>1.48</v>
          </cell>
          <cell r="E911">
            <v>0</v>
          </cell>
        </row>
        <row r="912">
          <cell r="A912">
            <v>54010</v>
          </cell>
          <cell r="B912" t="str">
            <v>CONECTOR DE MEDICAO TEL-562</v>
          </cell>
          <cell r="C912" t="str">
            <v>UN</v>
          </cell>
          <cell r="D912">
            <v>11.76</v>
          </cell>
          <cell r="E912">
            <v>0</v>
          </cell>
        </row>
        <row r="913">
          <cell r="A913">
            <v>60101</v>
          </cell>
          <cell r="B913" t="str">
            <v>TUBO DE CONCRETO SIMPLES DIAM. 30CM - PS1</v>
          </cell>
          <cell r="C913" t="str">
            <v>M</v>
          </cell>
          <cell r="D913">
            <v>28.69</v>
          </cell>
          <cell r="E913">
            <v>0</v>
          </cell>
        </row>
        <row r="914">
          <cell r="A914">
            <v>60104</v>
          </cell>
          <cell r="B914" t="str">
            <v>TUBO DE CONCRETO SIMPLES DIAM. 20CM - PS1</v>
          </cell>
          <cell r="C914" t="str">
            <v>M</v>
          </cell>
          <cell r="D914">
            <v>23.98</v>
          </cell>
          <cell r="E914">
            <v>0</v>
          </cell>
        </row>
        <row r="915">
          <cell r="A915">
            <v>60242</v>
          </cell>
          <cell r="B915" t="str">
            <v>BUJAO DE ACO GALVANIZADO 3"</v>
          </cell>
          <cell r="C915" t="str">
            <v>UN</v>
          </cell>
          <cell r="D915">
            <v>25.1</v>
          </cell>
          <cell r="E915">
            <v>0</v>
          </cell>
        </row>
        <row r="916">
          <cell r="A916">
            <v>60243</v>
          </cell>
          <cell r="B916" t="str">
            <v>BUJAO DE ACO GALVANIZADO 4"</v>
          </cell>
          <cell r="C916" t="str">
            <v>UN</v>
          </cell>
          <cell r="D916">
            <v>48.13</v>
          </cell>
          <cell r="E916">
            <v>0</v>
          </cell>
        </row>
        <row r="917">
          <cell r="A917">
            <v>60406</v>
          </cell>
          <cell r="B917" t="str">
            <v>LUVA DE REDUCAO ACO GALV 4X2 1/2"</v>
          </cell>
          <cell r="C917" t="str">
            <v>UN</v>
          </cell>
          <cell r="D917">
            <v>70.569999999999993</v>
          </cell>
          <cell r="E917">
            <v>0</v>
          </cell>
        </row>
        <row r="918">
          <cell r="A918">
            <v>60440</v>
          </cell>
          <cell r="B918" t="str">
            <v>NIPLE DUPLO ACO GALVANIZADO 1 1/4"</v>
          </cell>
          <cell r="C918" t="str">
            <v>UN</v>
          </cell>
          <cell r="D918">
            <v>7.31</v>
          </cell>
          <cell r="E918">
            <v>0</v>
          </cell>
        </row>
        <row r="919">
          <cell r="A919">
            <v>60443</v>
          </cell>
          <cell r="B919" t="str">
            <v>NIPLE DUPLO ACO GALVANIZADO 2 1/2"</v>
          </cell>
          <cell r="C919" t="str">
            <v>UN</v>
          </cell>
          <cell r="D919">
            <v>25.12</v>
          </cell>
          <cell r="E919">
            <v>0</v>
          </cell>
        </row>
        <row r="920">
          <cell r="A920">
            <v>60501</v>
          </cell>
          <cell r="B920" t="str">
            <v>TUBO DE ACO GALVANIZADO 15MM (1/2") LEVE</v>
          </cell>
          <cell r="C920" t="str">
            <v>M</v>
          </cell>
          <cell r="D920">
            <v>7.69</v>
          </cell>
          <cell r="E920">
            <v>0</v>
          </cell>
        </row>
        <row r="921">
          <cell r="A921">
            <v>60502</v>
          </cell>
          <cell r="B921" t="str">
            <v>TUBO DE ACO GALVANIZADO 20MM (3/4") LEVE</v>
          </cell>
          <cell r="C921" t="str">
            <v>M</v>
          </cell>
          <cell r="D921">
            <v>10.09</v>
          </cell>
          <cell r="E921">
            <v>0</v>
          </cell>
        </row>
        <row r="922">
          <cell r="A922">
            <v>60503</v>
          </cell>
          <cell r="B922" t="str">
            <v>TUBO DE ACO GALVANIZADO 25MM (1") LEVE</v>
          </cell>
          <cell r="C922" t="str">
            <v>M</v>
          </cell>
          <cell r="D922">
            <v>14.03</v>
          </cell>
          <cell r="E922">
            <v>0</v>
          </cell>
        </row>
        <row r="923">
          <cell r="A923">
            <v>60504</v>
          </cell>
          <cell r="B923" t="str">
            <v>TUBO DE ACO GALVANIZADO 32MM (1 1/4") LEVE</v>
          </cell>
          <cell r="C923" t="str">
            <v>M</v>
          </cell>
          <cell r="D923">
            <v>18.45</v>
          </cell>
          <cell r="E923">
            <v>0</v>
          </cell>
        </row>
        <row r="924">
          <cell r="A924">
            <v>60505</v>
          </cell>
          <cell r="B924" t="str">
            <v>TUBO DE ACO GALVANIZADO 40MM (1 1/2") LEVE</v>
          </cell>
          <cell r="C924" t="str">
            <v>M</v>
          </cell>
          <cell r="D924">
            <v>22.24</v>
          </cell>
          <cell r="E924">
            <v>0</v>
          </cell>
        </row>
        <row r="925">
          <cell r="A925">
            <v>60506</v>
          </cell>
          <cell r="B925" t="str">
            <v>TUBO DE ACO GALVANIZADO 50MM (2") LEVE</v>
          </cell>
          <cell r="C925" t="str">
            <v>M</v>
          </cell>
          <cell r="D925">
            <v>29.51</v>
          </cell>
          <cell r="E925">
            <v>0</v>
          </cell>
        </row>
        <row r="926">
          <cell r="A926">
            <v>60507</v>
          </cell>
          <cell r="B926" t="str">
            <v>TUBO DE ACO GALVANIZADO 65MM (2 1/2") LEVE</v>
          </cell>
          <cell r="C926" t="str">
            <v>M</v>
          </cell>
          <cell r="D926">
            <v>38.450000000000003</v>
          </cell>
          <cell r="E926">
            <v>0</v>
          </cell>
        </row>
        <row r="927">
          <cell r="A927">
            <v>60508</v>
          </cell>
          <cell r="B927" t="str">
            <v>TUBO DE ACO GALVANIZADO 75MM (3") LEVE</v>
          </cell>
          <cell r="C927" t="str">
            <v>M</v>
          </cell>
          <cell r="D927">
            <v>49.59</v>
          </cell>
          <cell r="E927">
            <v>0</v>
          </cell>
        </row>
        <row r="928">
          <cell r="A928">
            <v>60509</v>
          </cell>
          <cell r="B928" t="str">
            <v>TUBO DE ACO GALVANIZADO 100MM (4") LEVE</v>
          </cell>
          <cell r="C928" t="str">
            <v>M</v>
          </cell>
          <cell r="D928">
            <v>74.53</v>
          </cell>
          <cell r="E928">
            <v>0</v>
          </cell>
        </row>
        <row r="929">
          <cell r="A929">
            <v>60518</v>
          </cell>
          <cell r="B929" t="str">
            <v>TE ACO GALVANIZADO DE 2 1/2"</v>
          </cell>
          <cell r="C929" t="str">
            <v>UN</v>
          </cell>
          <cell r="D929">
            <v>51.22</v>
          </cell>
          <cell r="E929">
            <v>0</v>
          </cell>
        </row>
        <row r="930">
          <cell r="A930">
            <v>60529</v>
          </cell>
          <cell r="B930" t="str">
            <v>COTOVELO 90 ACO GALVANIZADO DE 2 1/2" (65MM)</v>
          </cell>
          <cell r="C930" t="str">
            <v>UN</v>
          </cell>
          <cell r="D930">
            <v>44.65</v>
          </cell>
          <cell r="E930">
            <v>0</v>
          </cell>
        </row>
        <row r="931">
          <cell r="A931">
            <v>60869</v>
          </cell>
          <cell r="B931" t="str">
            <v>LUVA ACO GALVANIZADO DE 4"</v>
          </cell>
          <cell r="C931" t="str">
            <v>UN</v>
          </cell>
          <cell r="D931">
            <v>67.59</v>
          </cell>
          <cell r="E931">
            <v>0</v>
          </cell>
        </row>
        <row r="932">
          <cell r="A932">
            <v>61004</v>
          </cell>
          <cell r="B932" t="str">
            <v>TUBO DE FERRO FUNDIDO DE 150MM</v>
          </cell>
          <cell r="C932" t="str">
            <v>M</v>
          </cell>
          <cell r="D932">
            <v>245.15</v>
          </cell>
          <cell r="E932">
            <v>0</v>
          </cell>
        </row>
        <row r="933">
          <cell r="A933">
            <v>62101</v>
          </cell>
          <cell r="B933" t="str">
            <v>ADAPTADOR PVC SOLD.FLANGES LIVRES P/CX.AGUA 20MM</v>
          </cell>
          <cell r="C933" t="str">
            <v>UN</v>
          </cell>
          <cell r="D933">
            <v>6.47</v>
          </cell>
          <cell r="E933">
            <v>0</v>
          </cell>
        </row>
        <row r="934">
          <cell r="A934">
            <v>62102</v>
          </cell>
          <cell r="B934" t="str">
            <v>ADAPTADOR PVC SOLD.FLANGES LIVRES P/CX.AGUA 25MM</v>
          </cell>
          <cell r="C934" t="str">
            <v>UN</v>
          </cell>
          <cell r="D934">
            <v>8.17</v>
          </cell>
          <cell r="E934">
            <v>0</v>
          </cell>
        </row>
        <row r="935">
          <cell r="A935">
            <v>62103</v>
          </cell>
          <cell r="B935" t="str">
            <v>ADAPTADOR PVC SOLD.FLANGES LIVRES P/CX.AGUA 32MM</v>
          </cell>
          <cell r="C935" t="str">
            <v>UN</v>
          </cell>
          <cell r="D935">
            <v>10.84</v>
          </cell>
          <cell r="E935">
            <v>0</v>
          </cell>
        </row>
        <row r="936">
          <cell r="A936">
            <v>62104</v>
          </cell>
          <cell r="B936" t="str">
            <v>ADAPTADOR PVC SOLD.FLANGES LIVRES P/CX.AGUA 40MM</v>
          </cell>
          <cell r="C936" t="str">
            <v>UN</v>
          </cell>
          <cell r="D936">
            <v>16.649999999999999</v>
          </cell>
          <cell r="E936">
            <v>0</v>
          </cell>
        </row>
        <row r="937">
          <cell r="A937">
            <v>62105</v>
          </cell>
          <cell r="B937" t="str">
            <v>ADAPTADOR PVC SOLD.FLANGES LIVRES P/CX.AGUA 50MM</v>
          </cell>
          <cell r="C937" t="str">
            <v>UN</v>
          </cell>
          <cell r="D937">
            <v>19.27</v>
          </cell>
          <cell r="E937">
            <v>0</v>
          </cell>
        </row>
        <row r="938">
          <cell r="A938">
            <v>62111</v>
          </cell>
          <cell r="B938" t="str">
            <v>ADAPTADOR PVC SOLDAVEL PARA REGISTRO 25MM X 3/4"</v>
          </cell>
          <cell r="C938" t="str">
            <v>UN</v>
          </cell>
          <cell r="D938">
            <v>0.89</v>
          </cell>
          <cell r="E938">
            <v>0</v>
          </cell>
        </row>
        <row r="939">
          <cell r="A939">
            <v>62112</v>
          </cell>
          <cell r="B939" t="str">
            <v>ADAPTADOR PVC SOLDAVEL PARA REGISTRO 32MM X 1"</v>
          </cell>
          <cell r="C939" t="str">
            <v>UN</v>
          </cell>
          <cell r="D939">
            <v>1.26</v>
          </cell>
          <cell r="E939">
            <v>0</v>
          </cell>
        </row>
        <row r="940">
          <cell r="A940">
            <v>62116</v>
          </cell>
          <cell r="B940" t="str">
            <v>ADAPTADOR PVC SOLDAVEL PARA REGISTRO 50MM X 1 1/2"</v>
          </cell>
          <cell r="C940" t="str">
            <v>UN</v>
          </cell>
          <cell r="D940">
            <v>2.5499999999999998</v>
          </cell>
          <cell r="E940">
            <v>0</v>
          </cell>
        </row>
        <row r="941">
          <cell r="A941">
            <v>62122</v>
          </cell>
          <cell r="B941" t="str">
            <v>BUCHA DE REDUCAO PVC SOLDAVEL LONGA 32X25MM</v>
          </cell>
          <cell r="C941" t="str">
            <v>UN</v>
          </cell>
          <cell r="D941">
            <v>0.55000000000000004</v>
          </cell>
          <cell r="E941">
            <v>0</v>
          </cell>
        </row>
        <row r="942">
          <cell r="A942">
            <v>62129</v>
          </cell>
          <cell r="B942" t="str">
            <v>BUCHA DE REDUCAO PVC SOLDAVEL LONGA 50X32MM</v>
          </cell>
          <cell r="C942" t="str">
            <v>UN</v>
          </cell>
          <cell r="D942">
            <v>3</v>
          </cell>
          <cell r="E942">
            <v>0</v>
          </cell>
        </row>
        <row r="943">
          <cell r="A943">
            <v>62187</v>
          </cell>
          <cell r="B943" t="str">
            <v>JOELHO DE REDUCAO 90 PVC SOLDAVEL DE 32X25MM</v>
          </cell>
          <cell r="C943" t="str">
            <v>UN</v>
          </cell>
          <cell r="D943">
            <v>2.1800000000000002</v>
          </cell>
          <cell r="E943">
            <v>0</v>
          </cell>
        </row>
        <row r="944">
          <cell r="A944">
            <v>62319</v>
          </cell>
          <cell r="B944" t="str">
            <v>JOELHO 90 PVC SOLD/ROSCA REDUCAO 25X3/4"</v>
          </cell>
          <cell r="C944" t="str">
            <v>UN</v>
          </cell>
          <cell r="D944">
            <v>1.78</v>
          </cell>
          <cell r="E944">
            <v>0</v>
          </cell>
        </row>
        <row r="945">
          <cell r="A945">
            <v>62321</v>
          </cell>
          <cell r="B945" t="str">
            <v>JOELHO DE REDUCAO 90 PVC SOLD/ROSCA DE 25X1/2"</v>
          </cell>
          <cell r="C945" t="str">
            <v>UN</v>
          </cell>
          <cell r="D945">
            <v>1.34</v>
          </cell>
          <cell r="E945">
            <v>0</v>
          </cell>
        </row>
        <row r="946">
          <cell r="A946">
            <v>62324</v>
          </cell>
          <cell r="B946" t="str">
            <v>LUVA PVC SOLDAVEL/ROSCA DE 25X3/4"</v>
          </cell>
          <cell r="C946" t="str">
            <v>UN</v>
          </cell>
          <cell r="D946">
            <v>1.28</v>
          </cell>
          <cell r="E946">
            <v>0</v>
          </cell>
        </row>
        <row r="947">
          <cell r="A947">
            <v>62375</v>
          </cell>
          <cell r="B947" t="str">
            <v>TUBO PVC RIG. CINZA P/ESGOTO DE 150MM (6")</v>
          </cell>
          <cell r="C947" t="str">
            <v>M</v>
          </cell>
          <cell r="D947">
            <v>34.11</v>
          </cell>
          <cell r="E947">
            <v>0</v>
          </cell>
        </row>
        <row r="948">
          <cell r="A948">
            <v>62419</v>
          </cell>
          <cell r="B948" t="str">
            <v>TUBO DE PVC PERFURADO PARA DRENO DIAM. 100MM</v>
          </cell>
          <cell r="C948" t="str">
            <v>M</v>
          </cell>
          <cell r="D948">
            <v>17.54</v>
          </cell>
          <cell r="E948">
            <v>0</v>
          </cell>
        </row>
        <row r="949">
          <cell r="A949">
            <v>62420</v>
          </cell>
          <cell r="B949" t="str">
            <v>CURVA 90° CURTA PVC ESGOTO 40MM</v>
          </cell>
          <cell r="C949" t="str">
            <v>UN</v>
          </cell>
          <cell r="D949">
            <v>2.56</v>
          </cell>
          <cell r="E949">
            <v>0</v>
          </cell>
        </row>
        <row r="950">
          <cell r="A950">
            <v>62423</v>
          </cell>
          <cell r="B950" t="str">
            <v>CURVA 90° CURTA PVC ESGOTO 100MM</v>
          </cell>
          <cell r="C950" t="str">
            <v>UN</v>
          </cell>
          <cell r="D950">
            <v>11.87</v>
          </cell>
          <cell r="E950">
            <v>0</v>
          </cell>
        </row>
        <row r="951">
          <cell r="A951">
            <v>62430</v>
          </cell>
          <cell r="B951" t="str">
            <v>CURVA 90° LONGA PVC ESGOTO 100 MM</v>
          </cell>
          <cell r="C951" t="str">
            <v>UN</v>
          </cell>
          <cell r="D951">
            <v>25.26</v>
          </cell>
          <cell r="E951">
            <v>0</v>
          </cell>
        </row>
        <row r="952">
          <cell r="A952">
            <v>62440</v>
          </cell>
          <cell r="B952" t="str">
            <v>JOELHO 90 C/VISITA PVC ESG 100X50MM</v>
          </cell>
          <cell r="C952" t="str">
            <v>UN</v>
          </cell>
          <cell r="D952">
            <v>13.22</v>
          </cell>
          <cell r="E952">
            <v>0</v>
          </cell>
        </row>
        <row r="953">
          <cell r="A953">
            <v>62472</v>
          </cell>
          <cell r="B953" t="str">
            <v>PLUG PVC ESGOTO DE 100MM</v>
          </cell>
          <cell r="C953" t="str">
            <v>UN</v>
          </cell>
          <cell r="D953">
            <v>3.89</v>
          </cell>
          <cell r="E953">
            <v>0</v>
          </cell>
        </row>
        <row r="954">
          <cell r="A954">
            <v>62482</v>
          </cell>
          <cell r="B954" t="str">
            <v>TE PVC REDUCAO ESGOTO DE 150X100MM</v>
          </cell>
          <cell r="C954" t="str">
            <v>UN</v>
          </cell>
          <cell r="D954">
            <v>29.25</v>
          </cell>
          <cell r="E954">
            <v>0</v>
          </cell>
        </row>
        <row r="955">
          <cell r="A955">
            <v>62501</v>
          </cell>
          <cell r="B955" t="str">
            <v>TUBO DE PVC SOLDAVEL DE 20MM</v>
          </cell>
          <cell r="C955" t="str">
            <v>M</v>
          </cell>
          <cell r="D955">
            <v>1.58</v>
          </cell>
          <cell r="E955">
            <v>0</v>
          </cell>
        </row>
        <row r="956">
          <cell r="A956">
            <v>62502</v>
          </cell>
          <cell r="B956" t="str">
            <v>TUBO DE PVC SOLDAVEL DE 25MM</v>
          </cell>
          <cell r="C956" t="str">
            <v>M</v>
          </cell>
          <cell r="D956">
            <v>2.38</v>
          </cell>
          <cell r="E956">
            <v>0</v>
          </cell>
        </row>
        <row r="957">
          <cell r="A957">
            <v>62503</v>
          </cell>
          <cell r="B957" t="str">
            <v>TUBO DE PVC SOLDAVEL DE 32MM</v>
          </cell>
          <cell r="C957" t="str">
            <v>M</v>
          </cell>
          <cell r="D957">
            <v>4.66</v>
          </cell>
          <cell r="E957">
            <v>0</v>
          </cell>
        </row>
        <row r="958">
          <cell r="A958">
            <v>62504</v>
          </cell>
          <cell r="B958" t="str">
            <v>TUBO DE PVC SOLDAVEL DE 40MM</v>
          </cell>
          <cell r="C958" t="str">
            <v>M</v>
          </cell>
          <cell r="D958">
            <v>6.44</v>
          </cell>
          <cell r="E958">
            <v>0</v>
          </cell>
        </row>
        <row r="959">
          <cell r="A959">
            <v>62505</v>
          </cell>
          <cell r="B959" t="str">
            <v>TUBO DE PVC SOLDAVEL DE 50MM</v>
          </cell>
          <cell r="C959" t="str">
            <v>M</v>
          </cell>
          <cell r="D959">
            <v>8.7899999999999991</v>
          </cell>
          <cell r="E959">
            <v>0</v>
          </cell>
        </row>
        <row r="960">
          <cell r="A960">
            <v>62506</v>
          </cell>
          <cell r="B960" t="str">
            <v>TUBO DE PVC SOLDAVEL DE 60MM</v>
          </cell>
          <cell r="C960" t="str">
            <v>M</v>
          </cell>
          <cell r="D960">
            <v>13.86</v>
          </cell>
          <cell r="E960">
            <v>0</v>
          </cell>
        </row>
        <row r="961">
          <cell r="A961">
            <v>62507</v>
          </cell>
          <cell r="B961" t="str">
            <v>TUBO DE PVC SOLDAVEL DE 75MM</v>
          </cell>
          <cell r="C961" t="str">
            <v>M</v>
          </cell>
          <cell r="D961">
            <v>18.36</v>
          </cell>
          <cell r="E961">
            <v>0</v>
          </cell>
        </row>
        <row r="962">
          <cell r="A962">
            <v>62508</v>
          </cell>
          <cell r="B962" t="str">
            <v>TUBO DE PVC SOLDAVEL DE 85MM</v>
          </cell>
          <cell r="C962" t="str">
            <v>M</v>
          </cell>
          <cell r="D962">
            <v>25.7</v>
          </cell>
          <cell r="E962">
            <v>0</v>
          </cell>
        </row>
        <row r="963">
          <cell r="A963">
            <v>62511</v>
          </cell>
          <cell r="B963" t="str">
            <v>JOELHO 90 DE PVC SOLDAVEL DE 25MM</v>
          </cell>
          <cell r="C963" t="str">
            <v>UN</v>
          </cell>
          <cell r="D963">
            <v>0.62</v>
          </cell>
          <cell r="E963">
            <v>0</v>
          </cell>
        </row>
        <row r="964">
          <cell r="A964">
            <v>62512</v>
          </cell>
          <cell r="B964" t="str">
            <v>JOELHO 90 DE PVC SOLDAVEL DE 32MM</v>
          </cell>
          <cell r="C964" t="str">
            <v>UN</v>
          </cell>
          <cell r="D964">
            <v>1.46</v>
          </cell>
          <cell r="E964">
            <v>0</v>
          </cell>
        </row>
        <row r="965">
          <cell r="A965">
            <v>62514</v>
          </cell>
          <cell r="B965" t="str">
            <v>JOELHO 90 DE PVC SOLDAVEL DE 50MM</v>
          </cell>
          <cell r="C965" t="str">
            <v>UN</v>
          </cell>
          <cell r="D965">
            <v>3.72</v>
          </cell>
          <cell r="E965">
            <v>0</v>
          </cell>
        </row>
        <row r="966">
          <cell r="A966">
            <v>62520</v>
          </cell>
          <cell r="B966" t="str">
            <v>TE DE PVC SOLDAVEL 25MM</v>
          </cell>
          <cell r="C966" t="str">
            <v>UN</v>
          </cell>
          <cell r="D966">
            <v>1.0900000000000001</v>
          </cell>
          <cell r="E966">
            <v>0</v>
          </cell>
        </row>
        <row r="967">
          <cell r="A967">
            <v>62521</v>
          </cell>
          <cell r="B967" t="str">
            <v>TE DE PVC SOLDAVEL 32MM</v>
          </cell>
          <cell r="C967" t="str">
            <v>UN</v>
          </cell>
          <cell r="D967">
            <v>2.23</v>
          </cell>
          <cell r="E967">
            <v>0</v>
          </cell>
        </row>
        <row r="968">
          <cell r="A968">
            <v>62530</v>
          </cell>
          <cell r="B968" t="str">
            <v>TUBO DE PVC PARA ESGOTO DE 40MM</v>
          </cell>
          <cell r="C968" t="str">
            <v>M</v>
          </cell>
          <cell r="D968">
            <v>3.25</v>
          </cell>
          <cell r="E968">
            <v>0</v>
          </cell>
        </row>
        <row r="969">
          <cell r="A969">
            <v>62531</v>
          </cell>
          <cell r="B969" t="str">
            <v>TUBO DE PVC PARA ESGOTO DE 50MM</v>
          </cell>
          <cell r="C969" t="str">
            <v>M</v>
          </cell>
          <cell r="D969">
            <v>5.34</v>
          </cell>
          <cell r="E969">
            <v>0</v>
          </cell>
        </row>
        <row r="970">
          <cell r="A970">
            <v>62532</v>
          </cell>
          <cell r="B970" t="str">
            <v>TUBO DE PVC PARA ESGOTO DE 75MM</v>
          </cell>
          <cell r="C970" t="str">
            <v>M</v>
          </cell>
          <cell r="D970">
            <v>7.27</v>
          </cell>
          <cell r="E970">
            <v>0</v>
          </cell>
        </row>
        <row r="971">
          <cell r="A971">
            <v>62533</v>
          </cell>
          <cell r="B971" t="str">
            <v>TUBO DE PVC PARA ESGOTO DE 100MM</v>
          </cell>
          <cell r="C971" t="str">
            <v>M</v>
          </cell>
          <cell r="D971">
            <v>8.68</v>
          </cell>
          <cell r="E971">
            <v>0</v>
          </cell>
        </row>
        <row r="972">
          <cell r="A972">
            <v>62534</v>
          </cell>
          <cell r="B972" t="str">
            <v>TUBO DE PVC PARA ESGOTO DE 150MM (6")</v>
          </cell>
          <cell r="C972" t="str">
            <v>M</v>
          </cell>
          <cell r="D972">
            <v>20.34</v>
          </cell>
          <cell r="E972">
            <v>0</v>
          </cell>
        </row>
        <row r="973">
          <cell r="A973">
            <v>62535</v>
          </cell>
          <cell r="B973" t="str">
            <v>TUBO DE PVC RIGIDO PARA ESGOTO - 200MM</v>
          </cell>
          <cell r="C973" t="str">
            <v>M</v>
          </cell>
          <cell r="D973">
            <v>33.57</v>
          </cell>
          <cell r="E973">
            <v>0</v>
          </cell>
        </row>
        <row r="974">
          <cell r="A974">
            <v>62536</v>
          </cell>
          <cell r="B974" t="str">
            <v>JOELHO 45 DE PVC PARA ESGOTO 40MM</v>
          </cell>
          <cell r="C974" t="str">
            <v>UN</v>
          </cell>
          <cell r="D974">
            <v>1.61</v>
          </cell>
          <cell r="E974">
            <v>0</v>
          </cell>
        </row>
        <row r="975">
          <cell r="A975">
            <v>62540</v>
          </cell>
          <cell r="B975" t="str">
            <v>JOELHO 90 DE PVC PARA ESGOTO DE 40MM</v>
          </cell>
          <cell r="C975" t="str">
            <v>UN</v>
          </cell>
          <cell r="D975">
            <v>1.62</v>
          </cell>
          <cell r="E975">
            <v>0</v>
          </cell>
        </row>
        <row r="976">
          <cell r="A976">
            <v>62542</v>
          </cell>
          <cell r="B976" t="str">
            <v>JOELHO 90 DE PVC PARA ESGOTO DE 75MM</v>
          </cell>
          <cell r="C976" t="str">
            <v>UN</v>
          </cell>
          <cell r="D976">
            <v>3.86</v>
          </cell>
          <cell r="E976">
            <v>0</v>
          </cell>
        </row>
        <row r="977">
          <cell r="A977">
            <v>62543</v>
          </cell>
          <cell r="B977" t="str">
            <v>JOELHO 90 DE PVC PARA ESGOTO DE 100MM</v>
          </cell>
          <cell r="C977" t="str">
            <v>UN</v>
          </cell>
          <cell r="D977">
            <v>5.83</v>
          </cell>
          <cell r="E977">
            <v>0</v>
          </cell>
        </row>
        <row r="978">
          <cell r="A978">
            <v>62544</v>
          </cell>
          <cell r="B978" t="str">
            <v>TE 90° PVC RIGIDO PARA ESGOTO - 40MM (1 1/2")</v>
          </cell>
          <cell r="C978" t="str">
            <v>UN</v>
          </cell>
          <cell r="D978">
            <v>2.4300000000000002</v>
          </cell>
          <cell r="E978">
            <v>0</v>
          </cell>
        </row>
        <row r="979">
          <cell r="A979">
            <v>62547</v>
          </cell>
          <cell r="B979" t="str">
            <v>TE 90° PVC RIGIDO PARA ESGOTO - 100MM (4")</v>
          </cell>
          <cell r="C979" t="str">
            <v>UN</v>
          </cell>
          <cell r="D979">
            <v>11.77</v>
          </cell>
          <cell r="E979">
            <v>0</v>
          </cell>
        </row>
        <row r="980">
          <cell r="A980">
            <v>62549</v>
          </cell>
          <cell r="B980" t="str">
            <v>TUBO DE PVC DE 1 1/2" PARA DESCARGA</v>
          </cell>
          <cell r="C980" t="str">
            <v>UN</v>
          </cell>
          <cell r="D980">
            <v>6.91</v>
          </cell>
          <cell r="E980">
            <v>0</v>
          </cell>
        </row>
        <row r="981">
          <cell r="A981">
            <v>62570</v>
          </cell>
          <cell r="B981" t="str">
            <v>LUVA DE PVC SOLDAVEL DE 25MM</v>
          </cell>
          <cell r="C981" t="str">
            <v>UN</v>
          </cell>
          <cell r="D981">
            <v>0.5</v>
          </cell>
          <cell r="E981">
            <v>0</v>
          </cell>
        </row>
        <row r="982">
          <cell r="A982">
            <v>62577</v>
          </cell>
          <cell r="B982" t="str">
            <v>JOELHO 45 DE PVC P/ ESGOTO DIAM 150MM</v>
          </cell>
          <cell r="C982" t="str">
            <v>UN</v>
          </cell>
          <cell r="D982">
            <v>28.41</v>
          </cell>
          <cell r="E982">
            <v>0</v>
          </cell>
        </row>
        <row r="983">
          <cell r="A983">
            <v>62588</v>
          </cell>
          <cell r="B983" t="str">
            <v>TE DE PVC SOLDAVEL DE 32X25MM</v>
          </cell>
          <cell r="C983" t="str">
            <v>UN</v>
          </cell>
          <cell r="D983">
            <v>3.34</v>
          </cell>
          <cell r="E983">
            <v>0</v>
          </cell>
        </row>
        <row r="984">
          <cell r="A984">
            <v>62594</v>
          </cell>
          <cell r="B984" t="str">
            <v>JOELHO 45 DE PVC SOLDAVEL DE 25MM</v>
          </cell>
          <cell r="C984" t="str">
            <v>UN</v>
          </cell>
          <cell r="D984">
            <v>0.97</v>
          </cell>
          <cell r="E984">
            <v>0</v>
          </cell>
        </row>
        <row r="985">
          <cell r="A985">
            <v>62674</v>
          </cell>
          <cell r="B985" t="str">
            <v>ANEL DE BORRACHA P/TUBO PVC 150MM (6")</v>
          </cell>
          <cell r="C985" t="str">
            <v>UN</v>
          </cell>
          <cell r="D985">
            <v>4.2699999999999996</v>
          </cell>
          <cell r="E985">
            <v>0</v>
          </cell>
        </row>
        <row r="986">
          <cell r="A986">
            <v>62701</v>
          </cell>
          <cell r="B986" t="str">
            <v>TUBO PVC RIGIDO ROSCAVEL DE 1/2"</v>
          </cell>
          <cell r="C986" t="str">
            <v>M</v>
          </cell>
          <cell r="D986">
            <v>3.88</v>
          </cell>
          <cell r="E986">
            <v>0</v>
          </cell>
        </row>
        <row r="987">
          <cell r="A987">
            <v>62702</v>
          </cell>
          <cell r="B987" t="str">
            <v>TUBO PVC RIGIDO ROSCAVEL DE 3/4"</v>
          </cell>
          <cell r="C987" t="str">
            <v>M</v>
          </cell>
          <cell r="D987">
            <v>5.6</v>
          </cell>
          <cell r="E987">
            <v>0</v>
          </cell>
        </row>
        <row r="988">
          <cell r="A988">
            <v>62703</v>
          </cell>
          <cell r="B988" t="str">
            <v>TUBO PVC RIGIDO ROSCAVEL DE 1"</v>
          </cell>
          <cell r="C988" t="str">
            <v>M</v>
          </cell>
          <cell r="D988">
            <v>9.57</v>
          </cell>
          <cell r="E988">
            <v>0</v>
          </cell>
        </row>
        <row r="989">
          <cell r="A989">
            <v>62704</v>
          </cell>
          <cell r="B989" t="str">
            <v>TUBO PVC RIGIDO ROSCAVEL DE 1 1/4"</v>
          </cell>
          <cell r="C989" t="str">
            <v>M</v>
          </cell>
          <cell r="D989">
            <v>11.9</v>
          </cell>
          <cell r="E989">
            <v>0</v>
          </cell>
        </row>
        <row r="990">
          <cell r="A990">
            <v>62705</v>
          </cell>
          <cell r="B990" t="str">
            <v>TUBO PVC RIGIDO ROSCAVEL DE 1 1/2"</v>
          </cell>
          <cell r="C990" t="str">
            <v>M</v>
          </cell>
          <cell r="D990">
            <v>13.83</v>
          </cell>
          <cell r="E990">
            <v>0</v>
          </cell>
        </row>
        <row r="991">
          <cell r="A991">
            <v>62706</v>
          </cell>
          <cell r="B991" t="str">
            <v>TUBO PVC RIGIDO ROSCAVEL DE 2"</v>
          </cell>
          <cell r="C991" t="str">
            <v>M</v>
          </cell>
          <cell r="D991">
            <v>26.61</v>
          </cell>
          <cell r="E991">
            <v>0</v>
          </cell>
        </row>
        <row r="992">
          <cell r="A992">
            <v>62707</v>
          </cell>
          <cell r="B992" t="str">
            <v>TUBO PVC RIGIDO ROSCAVEL DE 2 1/2"</v>
          </cell>
          <cell r="C992" t="str">
            <v>M</v>
          </cell>
          <cell r="D992">
            <v>38.380000000000003</v>
          </cell>
          <cell r="E992">
            <v>0</v>
          </cell>
        </row>
        <row r="993">
          <cell r="A993">
            <v>62807</v>
          </cell>
          <cell r="B993" t="str">
            <v>JOELHO PVC 90 ROSCAVEL DE 2 1/2''</v>
          </cell>
          <cell r="C993" t="str">
            <v>UN</v>
          </cell>
          <cell r="D993">
            <v>32.840000000000003</v>
          </cell>
          <cell r="E993">
            <v>0</v>
          </cell>
        </row>
        <row r="994">
          <cell r="A994">
            <v>62851</v>
          </cell>
          <cell r="B994" t="str">
            <v>TE PVC 90 ROSCAVEL DE 2 1/2''</v>
          </cell>
          <cell r="C994" t="str">
            <v>UN</v>
          </cell>
          <cell r="D994">
            <v>39.659999999999997</v>
          </cell>
          <cell r="E994">
            <v>0</v>
          </cell>
        </row>
        <row r="995">
          <cell r="A995">
            <v>62865</v>
          </cell>
          <cell r="B995" t="str">
            <v>UNIAO PVC ROSCAVEL DE 2 1/2''</v>
          </cell>
          <cell r="C995" t="str">
            <v>UN</v>
          </cell>
          <cell r="D995">
            <v>103.28</v>
          </cell>
          <cell r="E995">
            <v>0</v>
          </cell>
        </row>
        <row r="996">
          <cell r="A996">
            <v>63480</v>
          </cell>
          <cell r="B996" t="str">
            <v>BACIA SANITÁRIA CONVENCIONAL RAVENA P9, DECA</v>
          </cell>
          <cell r="C996" t="str">
            <v>UN</v>
          </cell>
          <cell r="D996">
            <v>149.87</v>
          </cell>
          <cell r="E996">
            <v>0</v>
          </cell>
        </row>
        <row r="997">
          <cell r="A997">
            <v>63501</v>
          </cell>
          <cell r="B997" t="str">
            <v>REGISTRO DE GAVETA BRUTO 1/2"</v>
          </cell>
          <cell r="C997" t="str">
            <v>UN</v>
          </cell>
          <cell r="D997">
            <v>13.51</v>
          </cell>
          <cell r="E997">
            <v>0</v>
          </cell>
        </row>
        <row r="998">
          <cell r="A998">
            <v>63502</v>
          </cell>
          <cell r="B998" t="str">
            <v>REGISTRO DE GAVETA BRUTO 3/4"</v>
          </cell>
          <cell r="C998" t="str">
            <v>UN</v>
          </cell>
          <cell r="D998">
            <v>15.04</v>
          </cell>
          <cell r="E998">
            <v>0</v>
          </cell>
        </row>
        <row r="999">
          <cell r="A999">
            <v>63503</v>
          </cell>
          <cell r="B999" t="str">
            <v>REGISTRO DE GAVETA BRUTO 1"</v>
          </cell>
          <cell r="C999" t="str">
            <v>UN</v>
          </cell>
          <cell r="D999">
            <v>24.53</v>
          </cell>
          <cell r="E999">
            <v>0</v>
          </cell>
        </row>
        <row r="1000">
          <cell r="A1000">
            <v>63504</v>
          </cell>
          <cell r="B1000" t="str">
            <v>REGISTRO DE GAVETA BRUTO 1 1/4"</v>
          </cell>
          <cell r="C1000" t="str">
            <v>UN</v>
          </cell>
          <cell r="D1000">
            <v>29.41</v>
          </cell>
          <cell r="E1000">
            <v>0</v>
          </cell>
        </row>
        <row r="1001">
          <cell r="A1001">
            <v>63505</v>
          </cell>
          <cell r="B1001" t="str">
            <v>REGISTRO DE GAVETA BRUTO 1 1/2"</v>
          </cell>
          <cell r="C1001" t="str">
            <v>UN</v>
          </cell>
          <cell r="D1001">
            <v>36.99</v>
          </cell>
          <cell r="E1001">
            <v>0</v>
          </cell>
        </row>
        <row r="1002">
          <cell r="A1002">
            <v>63506</v>
          </cell>
          <cell r="B1002" t="str">
            <v>REGISTRO DE GAVETA BRUTO 2"</v>
          </cell>
          <cell r="C1002" t="str">
            <v>UN</v>
          </cell>
          <cell r="D1002">
            <v>68.42</v>
          </cell>
          <cell r="E1002">
            <v>0</v>
          </cell>
        </row>
        <row r="1003">
          <cell r="A1003">
            <v>63507</v>
          </cell>
          <cell r="B1003" t="str">
            <v>REGISTRO DE GAVETA BRUTO 2 1/2"</v>
          </cell>
          <cell r="C1003" t="str">
            <v>UN</v>
          </cell>
          <cell r="D1003">
            <v>174.85</v>
          </cell>
          <cell r="E1003">
            <v>0</v>
          </cell>
        </row>
        <row r="1004">
          <cell r="A1004">
            <v>63508</v>
          </cell>
          <cell r="B1004" t="str">
            <v>REGISTRO DE GAVETA BRUTO 3"</v>
          </cell>
          <cell r="C1004" t="str">
            <v>UN</v>
          </cell>
          <cell r="D1004">
            <v>251.7</v>
          </cell>
          <cell r="E1004">
            <v>0</v>
          </cell>
        </row>
        <row r="1005">
          <cell r="A1005">
            <v>63515</v>
          </cell>
          <cell r="B1005" t="str">
            <v>REGISTRO DE GAVETA CROMADO 1/2"</v>
          </cell>
          <cell r="C1005" t="str">
            <v>UN</v>
          </cell>
          <cell r="D1005">
            <v>25.88</v>
          </cell>
          <cell r="E1005">
            <v>0</v>
          </cell>
        </row>
        <row r="1006">
          <cell r="A1006">
            <v>63516</v>
          </cell>
          <cell r="B1006" t="str">
            <v>REGISTRO DE GAVETA CROMADO 3/4"</v>
          </cell>
          <cell r="C1006" t="str">
            <v>UN</v>
          </cell>
          <cell r="D1006">
            <v>27.8</v>
          </cell>
          <cell r="E1006">
            <v>0</v>
          </cell>
        </row>
        <row r="1007">
          <cell r="A1007">
            <v>63517</v>
          </cell>
          <cell r="B1007" t="str">
            <v>REGISTRO DE GAVETA CROMADO 1"</v>
          </cell>
          <cell r="C1007" t="str">
            <v>UN</v>
          </cell>
          <cell r="D1007">
            <v>40.44</v>
          </cell>
          <cell r="E1007">
            <v>0</v>
          </cell>
        </row>
        <row r="1008">
          <cell r="A1008">
            <v>63518</v>
          </cell>
          <cell r="B1008" t="str">
            <v>REGISTRO DE GAVETA CROMADO 1 1/2"</v>
          </cell>
          <cell r="C1008" t="str">
            <v>UN</v>
          </cell>
          <cell r="D1008">
            <v>65.84</v>
          </cell>
          <cell r="E1008">
            <v>0</v>
          </cell>
        </row>
        <row r="1009">
          <cell r="A1009">
            <v>63520</v>
          </cell>
          <cell r="B1009" t="str">
            <v>REGISTRO DE PRESSAO CROMADO 1/2"</v>
          </cell>
          <cell r="C1009" t="str">
            <v>UN</v>
          </cell>
          <cell r="D1009">
            <v>25.88</v>
          </cell>
          <cell r="E1009">
            <v>0</v>
          </cell>
        </row>
        <row r="1010">
          <cell r="A1010">
            <v>63521</v>
          </cell>
          <cell r="B1010" t="str">
            <v>REGISTRO DE PRESSAO CROMADO 3/4"</v>
          </cell>
          <cell r="C1010" t="str">
            <v>UN</v>
          </cell>
          <cell r="D1010">
            <v>27.8</v>
          </cell>
          <cell r="E1010">
            <v>0</v>
          </cell>
        </row>
        <row r="1011">
          <cell r="A1011">
            <v>63523</v>
          </cell>
          <cell r="B1011" t="str">
            <v>REGISTRO DE GAVETA CROMADO 1 1/4"</v>
          </cell>
          <cell r="C1011" t="str">
            <v>UN</v>
          </cell>
          <cell r="D1011">
            <v>58.02</v>
          </cell>
          <cell r="E1011">
            <v>0</v>
          </cell>
        </row>
        <row r="1012">
          <cell r="A1012">
            <v>63530</v>
          </cell>
          <cell r="B1012" t="str">
            <v>REGISTRO DE PRESSAO BRUTO 3/4"</v>
          </cell>
          <cell r="C1012" t="str">
            <v>UN</v>
          </cell>
          <cell r="D1012">
            <v>27.54</v>
          </cell>
          <cell r="E1012">
            <v>0</v>
          </cell>
        </row>
        <row r="1013">
          <cell r="A1013">
            <v>63536</v>
          </cell>
          <cell r="B1013" t="str">
            <v>REGISTRO PRESSAO BRUTO 1/2"</v>
          </cell>
          <cell r="C1013" t="str">
            <v>UN</v>
          </cell>
          <cell r="D1013">
            <v>24.05</v>
          </cell>
          <cell r="E1013">
            <v>0</v>
          </cell>
        </row>
        <row r="1014">
          <cell r="A1014">
            <v>64001</v>
          </cell>
          <cell r="B1014" t="str">
            <v>VALVULA AMERICANA PARA PIA 1 1/2X3 3/4'</v>
          </cell>
          <cell r="C1014" t="str">
            <v>UN</v>
          </cell>
          <cell r="D1014">
            <v>35.83</v>
          </cell>
          <cell r="E1014">
            <v>0</v>
          </cell>
        </row>
        <row r="1015">
          <cell r="A1015">
            <v>64002</v>
          </cell>
          <cell r="B1015" t="str">
            <v>VALVULA DE SAIDA PARA LAVATORIO CROMADA 1"</v>
          </cell>
          <cell r="C1015" t="str">
            <v>UN</v>
          </cell>
          <cell r="D1015">
            <v>22.7</v>
          </cell>
          <cell r="E1015">
            <v>0</v>
          </cell>
        </row>
        <row r="1016">
          <cell r="A1016">
            <v>64003</v>
          </cell>
          <cell r="B1016" t="str">
            <v>VALVULA DE SAIDA P/ PIA OU TANQUE CROMADA 11/4"</v>
          </cell>
          <cell r="C1016" t="str">
            <v>UN</v>
          </cell>
          <cell r="D1016">
            <v>32.119999999999997</v>
          </cell>
          <cell r="E1016">
            <v>0</v>
          </cell>
        </row>
        <row r="1017">
          <cell r="A1017">
            <v>64004</v>
          </cell>
          <cell r="B1017" t="str">
            <v>VALVULA DE SAIDA P/MICTORIO CROMADA (11/2")</v>
          </cell>
          <cell r="C1017" t="str">
            <v>UN</v>
          </cell>
          <cell r="D1017">
            <v>129.08000000000001</v>
          </cell>
          <cell r="E1017">
            <v>0</v>
          </cell>
        </row>
        <row r="1018">
          <cell r="A1018">
            <v>64005</v>
          </cell>
          <cell r="B1018" t="str">
            <v>VALVULA DE PVC 2" C/ UNHO</v>
          </cell>
          <cell r="C1018" t="str">
            <v>UN</v>
          </cell>
          <cell r="D1018">
            <v>4.7300000000000004</v>
          </cell>
          <cell r="E1018">
            <v>0</v>
          </cell>
        </row>
        <row r="1019">
          <cell r="A1019">
            <v>64006</v>
          </cell>
          <cell r="B1019" t="str">
            <v>VALVULA DE PVC 1" C/ UNHO</v>
          </cell>
          <cell r="C1019" t="str">
            <v>UN</v>
          </cell>
          <cell r="D1019">
            <v>3.73</v>
          </cell>
          <cell r="E1019">
            <v>0</v>
          </cell>
        </row>
        <row r="1020">
          <cell r="A1020">
            <v>64009</v>
          </cell>
          <cell r="B1020" t="str">
            <v>VALVULA DE RETENCAO PE C/CRIVO DIAM 15MM</v>
          </cell>
          <cell r="C1020" t="str">
            <v>UN</v>
          </cell>
          <cell r="D1020">
            <v>21.23</v>
          </cell>
          <cell r="E1020">
            <v>0</v>
          </cell>
        </row>
        <row r="1021">
          <cell r="A1021">
            <v>64010</v>
          </cell>
          <cell r="B1021" t="str">
            <v>VALVULA DE DESCARGA 1 1/2" C/ ACABAMENTO CROMADO</v>
          </cell>
          <cell r="C1021" t="str">
            <v>UN</v>
          </cell>
          <cell r="D1021">
            <v>162.02000000000001</v>
          </cell>
          <cell r="E1021">
            <v>0</v>
          </cell>
        </row>
        <row r="1022">
          <cell r="A1022">
            <v>64011</v>
          </cell>
          <cell r="B1022" t="str">
            <v>VALVULA DE DESCARGA COM REGISTRO 1 1/2" S/ ACABAM.</v>
          </cell>
          <cell r="C1022" t="str">
            <v>UN</v>
          </cell>
          <cell r="D1022">
            <v>71.849999999999994</v>
          </cell>
          <cell r="E1022">
            <v>0</v>
          </cell>
        </row>
        <row r="1023">
          <cell r="A1023">
            <v>64015</v>
          </cell>
          <cell r="B1023" t="str">
            <v>VALVULA RETENCAO HORIZONTAL BRONZE - 15MM (1/2')</v>
          </cell>
          <cell r="C1023" t="str">
            <v>UN</v>
          </cell>
          <cell r="D1023">
            <v>34.630000000000003</v>
          </cell>
          <cell r="E1023">
            <v>0</v>
          </cell>
        </row>
        <row r="1024">
          <cell r="A1024">
            <v>64016</v>
          </cell>
          <cell r="B1024" t="str">
            <v>VALVULA RETENCAO HORIZONTAL BRONZE - 20MM (3/4')</v>
          </cell>
          <cell r="C1024" t="str">
            <v>UN</v>
          </cell>
          <cell r="D1024">
            <v>39.19</v>
          </cell>
          <cell r="E1024">
            <v>0</v>
          </cell>
        </row>
        <row r="1025">
          <cell r="A1025">
            <v>64017</v>
          </cell>
          <cell r="B1025" t="str">
            <v>VALVULA RETENCAO HORIZONTAL BRONZE - 25MM (1')</v>
          </cell>
          <cell r="C1025" t="str">
            <v>UN</v>
          </cell>
          <cell r="D1025">
            <v>53.24</v>
          </cell>
          <cell r="E1025">
            <v>0</v>
          </cell>
        </row>
        <row r="1026">
          <cell r="A1026">
            <v>64018</v>
          </cell>
          <cell r="B1026" t="str">
            <v>VALVULA RETENCAO HORIZONTAL BRONZE - 32MM (1 1/4')</v>
          </cell>
          <cell r="C1026" t="str">
            <v>UN</v>
          </cell>
          <cell r="D1026">
            <v>79.430000000000007</v>
          </cell>
          <cell r="E1026">
            <v>0</v>
          </cell>
        </row>
        <row r="1027">
          <cell r="A1027">
            <v>64019</v>
          </cell>
          <cell r="B1027" t="str">
            <v>VALVULA RETENCAO HORIZONTAL BRONZE - 40MM (1 1/2')</v>
          </cell>
          <cell r="C1027" t="str">
            <v>UN</v>
          </cell>
          <cell r="D1027">
            <v>95.29</v>
          </cell>
          <cell r="E1027">
            <v>0</v>
          </cell>
        </row>
        <row r="1028">
          <cell r="A1028">
            <v>64020</v>
          </cell>
          <cell r="B1028" t="str">
            <v>VALVULA RETENCAO HORIZONTAL BRONZE - 50MM (2')</v>
          </cell>
          <cell r="C1028" t="str">
            <v>UN</v>
          </cell>
          <cell r="D1028">
            <v>139.08000000000001</v>
          </cell>
          <cell r="E1028">
            <v>0</v>
          </cell>
        </row>
        <row r="1029">
          <cell r="A1029">
            <v>64021</v>
          </cell>
          <cell r="B1029" t="str">
            <v>VALVULA RETENCAO HORIZONTAL BRONZE - 65MM (2 1/2')</v>
          </cell>
          <cell r="C1029" t="str">
            <v>UN</v>
          </cell>
          <cell r="D1029">
            <v>217.3</v>
          </cell>
          <cell r="E1029">
            <v>0</v>
          </cell>
        </row>
        <row r="1030">
          <cell r="A1030">
            <v>64022</v>
          </cell>
          <cell r="B1030" t="str">
            <v>VALVULA RETENCAO HORIZONTAL BRONZE - 80MM (3")</v>
          </cell>
          <cell r="C1030" t="str">
            <v>UN</v>
          </cell>
          <cell r="D1030">
            <v>284.76</v>
          </cell>
          <cell r="E1030">
            <v>0</v>
          </cell>
        </row>
        <row r="1031">
          <cell r="A1031">
            <v>64026</v>
          </cell>
          <cell r="B1031" t="str">
            <v>VALVULA RETENCAO. PE C/CRIVO - 20MM (3/4')</v>
          </cell>
          <cell r="C1031" t="str">
            <v>UN</v>
          </cell>
          <cell r="D1031">
            <v>25.65</v>
          </cell>
          <cell r="E1031">
            <v>0</v>
          </cell>
        </row>
        <row r="1032">
          <cell r="A1032">
            <v>64027</v>
          </cell>
          <cell r="B1032" t="str">
            <v>VALVULA RETENCAO. PE C/CRIVO - 25MM (1')</v>
          </cell>
          <cell r="C1032" t="str">
            <v>UN</v>
          </cell>
          <cell r="D1032">
            <v>32.25</v>
          </cell>
          <cell r="E1032">
            <v>0</v>
          </cell>
        </row>
        <row r="1033">
          <cell r="A1033">
            <v>64028</v>
          </cell>
          <cell r="B1033" t="str">
            <v>VALVULA RETENCAO. PE C/CRIVO - 32MM (1 1/4')</v>
          </cell>
          <cell r="C1033" t="str">
            <v>UN</v>
          </cell>
          <cell r="D1033">
            <v>43.82</v>
          </cell>
          <cell r="E1033">
            <v>0</v>
          </cell>
        </row>
        <row r="1034">
          <cell r="A1034">
            <v>64034</v>
          </cell>
          <cell r="B1034" t="str">
            <v>VALVULA RETENCAO VERTICAL BRONZE - 32MM (1 1/4")</v>
          </cell>
          <cell r="C1034" t="str">
            <v>UN</v>
          </cell>
          <cell r="D1034">
            <v>46.5</v>
          </cell>
          <cell r="E1034">
            <v>0</v>
          </cell>
        </row>
        <row r="1035">
          <cell r="A1035">
            <v>64035</v>
          </cell>
          <cell r="B1035" t="str">
            <v>VALVULA RETENCAO VERTICAL BRONZE - 20 MM 3/4"</v>
          </cell>
          <cell r="C1035" t="str">
            <v>UN</v>
          </cell>
          <cell r="D1035">
            <v>26.03</v>
          </cell>
          <cell r="E1035">
            <v>0</v>
          </cell>
        </row>
        <row r="1036">
          <cell r="A1036">
            <v>64040</v>
          </cell>
          <cell r="B1036" t="str">
            <v>VALVULA RETENCAO VERTICAL BRONZE - 15MM (1/2")</v>
          </cell>
          <cell r="C1036" t="str">
            <v>UN</v>
          </cell>
          <cell r="D1036">
            <v>21.23</v>
          </cell>
          <cell r="E1036">
            <v>0</v>
          </cell>
        </row>
        <row r="1037">
          <cell r="A1037">
            <v>64041</v>
          </cell>
          <cell r="B1037" t="str">
            <v>VALVULA RETENCAO VERTICAL BRONZE - 40MM (11/2")</v>
          </cell>
          <cell r="C1037" t="str">
            <v>UN</v>
          </cell>
          <cell r="D1037">
            <v>55.65</v>
          </cell>
          <cell r="E1037">
            <v>0</v>
          </cell>
        </row>
        <row r="1038">
          <cell r="A1038">
            <v>64042</v>
          </cell>
          <cell r="B1038" t="str">
            <v>VALVULA RETENCAO VERTICAL BRONZE - 50MM (2")</v>
          </cell>
          <cell r="C1038" t="str">
            <v>UN</v>
          </cell>
          <cell r="D1038">
            <v>84.55</v>
          </cell>
          <cell r="E1038">
            <v>0</v>
          </cell>
        </row>
        <row r="1039">
          <cell r="A1039">
            <v>64043</v>
          </cell>
          <cell r="B1039" t="str">
            <v>VALVULA RETENCAO VERTICAL BRONZE - 65MM (21/2")</v>
          </cell>
          <cell r="C1039" t="str">
            <v>UN</v>
          </cell>
          <cell r="D1039">
            <v>141.03</v>
          </cell>
          <cell r="E1039">
            <v>0</v>
          </cell>
        </row>
        <row r="1040">
          <cell r="A1040">
            <v>64044</v>
          </cell>
          <cell r="B1040" t="str">
            <v>VALVULA RETENCAO VERTICAL BRONZE - 80MM (3")</v>
          </cell>
          <cell r="C1040" t="str">
            <v>UN</v>
          </cell>
          <cell r="D1040">
            <v>209.73</v>
          </cell>
          <cell r="E1040">
            <v>0</v>
          </cell>
        </row>
        <row r="1041">
          <cell r="A1041">
            <v>64045</v>
          </cell>
          <cell r="B1041" t="str">
            <v>VALVULA AMERICANA CROMADA P/PIA 3 1/2'</v>
          </cell>
          <cell r="C1041" t="str">
            <v>UN</v>
          </cell>
          <cell r="D1041">
            <v>38.75</v>
          </cell>
          <cell r="E1041">
            <v>0</v>
          </cell>
        </row>
        <row r="1042">
          <cell r="A1042">
            <v>64066</v>
          </cell>
          <cell r="B1042" t="str">
            <v>VALVULA DE RETENCAO VERTICAL BRONZE - 25MM (1")</v>
          </cell>
          <cell r="C1042" t="str">
            <v>UN</v>
          </cell>
          <cell r="D1042">
            <v>31.83</v>
          </cell>
          <cell r="E1042">
            <v>0</v>
          </cell>
        </row>
        <row r="1043">
          <cell r="A1043">
            <v>64077</v>
          </cell>
          <cell r="B1043" t="str">
            <v>VALVULA EM PVC P/ LAVAT PADRAO POPULAR 1" C/ UNHO</v>
          </cell>
          <cell r="C1043" t="str">
            <v>UN</v>
          </cell>
          <cell r="D1043">
            <v>3.46</v>
          </cell>
          <cell r="E1043">
            <v>0</v>
          </cell>
        </row>
        <row r="1044">
          <cell r="A1044">
            <v>64094</v>
          </cell>
          <cell r="B1044" t="str">
            <v>VALVULA DE DESCARGA COM CANOPLA CROMADA 11/4"</v>
          </cell>
          <cell r="C1044" t="str">
            <v>UN</v>
          </cell>
          <cell r="D1044">
            <v>134.99</v>
          </cell>
          <cell r="E1044">
            <v>0</v>
          </cell>
        </row>
        <row r="1045">
          <cell r="A1045">
            <v>64097</v>
          </cell>
          <cell r="B1045" t="str">
            <v>VALVULA DE DESCARGA PARA MICTÓRIO</v>
          </cell>
          <cell r="C1045" t="str">
            <v>UN</v>
          </cell>
          <cell r="D1045">
            <v>206.73</v>
          </cell>
          <cell r="E1045">
            <v>0</v>
          </cell>
        </row>
        <row r="1046">
          <cell r="A1046">
            <v>64127</v>
          </cell>
          <cell r="B1046" t="str">
            <v>VALVULA DESC.ANTI-VAND DOCOL 01505006 - 11/2"</v>
          </cell>
          <cell r="C1046" t="str">
            <v>UN</v>
          </cell>
          <cell r="D1046">
            <v>174.66</v>
          </cell>
          <cell r="E1046">
            <v>0</v>
          </cell>
        </row>
        <row r="1047">
          <cell r="A1047">
            <v>64128</v>
          </cell>
          <cell r="B1047" t="str">
            <v>VALVULA DESC ACAB. BENEFIT DOCOL 00184906 - 11/2"</v>
          </cell>
          <cell r="C1047" t="str">
            <v>UN</v>
          </cell>
          <cell r="D1047">
            <v>423.27</v>
          </cell>
          <cell r="E1047">
            <v>0</v>
          </cell>
        </row>
        <row r="1048">
          <cell r="A1048">
            <v>64149</v>
          </cell>
          <cell r="B1048" t="str">
            <v>VÁLVULA ESFERA NPT CLASSE 300 Ø 3/4"</v>
          </cell>
          <cell r="C1048" t="str">
            <v>UN</v>
          </cell>
          <cell r="D1048">
            <v>42.63</v>
          </cell>
          <cell r="E1048">
            <v>0</v>
          </cell>
        </row>
        <row r="1049">
          <cell r="A1049">
            <v>64503</v>
          </cell>
          <cell r="B1049" t="str">
            <v>SIFAO METALICO TIPO COPO 1X1 1/2"</v>
          </cell>
          <cell r="C1049" t="str">
            <v>UN</v>
          </cell>
          <cell r="D1049">
            <v>59.96</v>
          </cell>
          <cell r="E1049">
            <v>0</v>
          </cell>
        </row>
        <row r="1050">
          <cell r="A1050">
            <v>64504</v>
          </cell>
          <cell r="B1050" t="str">
            <v>SIFAO CROMADO 2"</v>
          </cell>
          <cell r="C1050" t="str">
            <v>UN</v>
          </cell>
          <cell r="D1050">
            <v>64.069999999999993</v>
          </cell>
          <cell r="E1050">
            <v>0</v>
          </cell>
        </row>
        <row r="1051">
          <cell r="A1051">
            <v>64506</v>
          </cell>
          <cell r="B1051" t="str">
            <v>SIFAO CROMADO 1" X 1 1/2"</v>
          </cell>
          <cell r="C1051" t="str">
            <v>UN</v>
          </cell>
          <cell r="D1051">
            <v>61.38</v>
          </cell>
          <cell r="E1051">
            <v>0</v>
          </cell>
        </row>
        <row r="1052">
          <cell r="A1052">
            <v>64507</v>
          </cell>
          <cell r="B1052" t="str">
            <v>SIFAO DE PVC RIGIDO TIPO COPO 1" X 1 1/2"</v>
          </cell>
          <cell r="C1052" t="str">
            <v>UN</v>
          </cell>
          <cell r="D1052">
            <v>8.14</v>
          </cell>
          <cell r="E1052">
            <v>0</v>
          </cell>
        </row>
        <row r="1053">
          <cell r="A1053">
            <v>64511</v>
          </cell>
          <cell r="B1053" t="str">
            <v>SIFAO PARA LAVATORIO ACO INOX CROMADO 1 1/4"</v>
          </cell>
          <cell r="C1053" t="str">
            <v>UN</v>
          </cell>
          <cell r="D1053">
            <v>76.03</v>
          </cell>
          <cell r="E1053">
            <v>0</v>
          </cell>
        </row>
        <row r="1054">
          <cell r="A1054">
            <v>64515</v>
          </cell>
          <cell r="B1054" t="str">
            <v>SIFAO DE PVC DIAMETRO 2"</v>
          </cell>
          <cell r="C1054" t="str">
            <v>UN</v>
          </cell>
          <cell r="D1054">
            <v>7.65</v>
          </cell>
          <cell r="E1054">
            <v>0</v>
          </cell>
        </row>
        <row r="1055">
          <cell r="A1055">
            <v>64519</v>
          </cell>
          <cell r="B1055" t="str">
            <v>SIFAO PVC PADRAO POPULAR P/ LAVATÓRIO 1"X1 1/2"</v>
          </cell>
          <cell r="C1055" t="str">
            <v>UN</v>
          </cell>
          <cell r="D1055">
            <v>8.26</v>
          </cell>
          <cell r="E1055">
            <v>0</v>
          </cell>
        </row>
        <row r="1056">
          <cell r="A1056">
            <v>64527</v>
          </cell>
          <cell r="B1056" t="str">
            <v>ENGATE FLEXIVEL METAL CROMADO ESTEVES</v>
          </cell>
          <cell r="C1056" t="str">
            <v>UN</v>
          </cell>
          <cell r="D1056">
            <v>22.48</v>
          </cell>
          <cell r="E1056">
            <v>0</v>
          </cell>
        </row>
        <row r="1057">
          <cell r="A1057">
            <v>64701</v>
          </cell>
          <cell r="B1057" t="str">
            <v>TUBO ACO GALV NBR5590 CL PESADA 200MM(3/4) - GAS</v>
          </cell>
          <cell r="C1057" t="str">
            <v>M</v>
          </cell>
          <cell r="D1057">
            <v>15.89</v>
          </cell>
          <cell r="E1057">
            <v>0</v>
          </cell>
        </row>
        <row r="1058">
          <cell r="A1058">
            <v>64702</v>
          </cell>
          <cell r="B1058" t="str">
            <v>CAP 3/4 NPT</v>
          </cell>
          <cell r="C1058" t="str">
            <v>UN</v>
          </cell>
          <cell r="D1058">
            <v>9.15</v>
          </cell>
          <cell r="E1058">
            <v>0</v>
          </cell>
        </row>
        <row r="1059">
          <cell r="A1059">
            <v>64703</v>
          </cell>
          <cell r="B1059" t="str">
            <v>MEIA LUVA POL(VALV RET) - GAS</v>
          </cell>
          <cell r="C1059" t="str">
            <v>UN</v>
          </cell>
          <cell r="D1059">
            <v>9.14</v>
          </cell>
          <cell r="E1059">
            <v>0</v>
          </cell>
        </row>
        <row r="1060">
          <cell r="A1060">
            <v>64704</v>
          </cell>
          <cell r="B1060" t="str">
            <v>PIGTAIL POL MX7/16 NS(24)</v>
          </cell>
          <cell r="C1060" t="str">
            <v>UN</v>
          </cell>
          <cell r="D1060">
            <v>13.89</v>
          </cell>
          <cell r="E1060">
            <v>0</v>
          </cell>
        </row>
        <row r="1061">
          <cell r="A1061">
            <v>64705</v>
          </cell>
          <cell r="B1061" t="str">
            <v>VALVULA DE CILINDRO PARA BOTIJAO 45KG(GAS)</v>
          </cell>
          <cell r="C1061" t="str">
            <v>UN</v>
          </cell>
          <cell r="D1061">
            <v>30.45</v>
          </cell>
          <cell r="E1061">
            <v>0</v>
          </cell>
        </row>
        <row r="1062">
          <cell r="A1062">
            <v>64706</v>
          </cell>
          <cell r="B1062" t="str">
            <v>TE NPT 3/4"</v>
          </cell>
          <cell r="C1062" t="str">
            <v>UN</v>
          </cell>
          <cell r="D1062">
            <v>21.58</v>
          </cell>
          <cell r="E1062">
            <v>0</v>
          </cell>
        </row>
        <row r="1063">
          <cell r="A1063">
            <v>64707</v>
          </cell>
          <cell r="B1063" t="str">
            <v>REGULADOR PRESSAO PRIM EST SAIDA 150KPA INC VALV</v>
          </cell>
          <cell r="C1063" t="str">
            <v>UN</v>
          </cell>
          <cell r="D1063">
            <v>480.25</v>
          </cell>
          <cell r="E1063">
            <v>0</v>
          </cell>
        </row>
        <row r="1064">
          <cell r="A1064">
            <v>64709</v>
          </cell>
          <cell r="B1064" t="str">
            <v>ANEL DE CERA PARA BACIA SANITARIA</v>
          </cell>
          <cell r="C1064" t="str">
            <v>UN</v>
          </cell>
          <cell r="D1064">
            <v>8.7100000000000009</v>
          </cell>
          <cell r="E1064">
            <v>0</v>
          </cell>
        </row>
        <row r="1065">
          <cell r="A1065">
            <v>65002</v>
          </cell>
          <cell r="B1065" t="str">
            <v>CAIXA DE DESCARGA PLASTICA DE SOBREPOR BRANCA</v>
          </cell>
          <cell r="C1065" t="str">
            <v>UN</v>
          </cell>
          <cell r="D1065">
            <v>25.19</v>
          </cell>
          <cell r="E1065">
            <v>0</v>
          </cell>
        </row>
        <row r="1066">
          <cell r="A1066">
            <v>65004</v>
          </cell>
          <cell r="B1066" t="str">
            <v>RESERVATORIO DE POLIETILENO 1.000 L C/ TAMPA</v>
          </cell>
          <cell r="C1066" t="str">
            <v>UN</v>
          </cell>
          <cell r="D1066">
            <v>288.77999999999997</v>
          </cell>
          <cell r="E1066">
            <v>0</v>
          </cell>
        </row>
        <row r="1067">
          <cell r="A1067">
            <v>65005</v>
          </cell>
          <cell r="B1067" t="str">
            <v>RESERVATORIO DE POLIETILENO 5.000 L C/ TAMPA</v>
          </cell>
          <cell r="C1067" t="str">
            <v>UN</v>
          </cell>
          <cell r="D1067">
            <v>1736.4</v>
          </cell>
          <cell r="E1067">
            <v>0</v>
          </cell>
        </row>
        <row r="1068">
          <cell r="A1068">
            <v>65023</v>
          </cell>
          <cell r="B1068" t="str">
            <v>RESERVATORIO DE POLIETILENO 1.500 L C/ TAMPA</v>
          </cell>
          <cell r="C1068" t="str">
            <v>UN</v>
          </cell>
          <cell r="D1068">
            <v>581.41</v>
          </cell>
          <cell r="E1068">
            <v>0</v>
          </cell>
        </row>
        <row r="1069">
          <cell r="A1069">
            <v>65024</v>
          </cell>
          <cell r="B1069" t="str">
            <v>RESERVATORIO DE POLIETILENO 500 L C/ TAMPA</v>
          </cell>
          <cell r="C1069" t="str">
            <v>UN</v>
          </cell>
          <cell r="D1069">
            <v>186.99</v>
          </cell>
          <cell r="E1069">
            <v>0</v>
          </cell>
        </row>
        <row r="1070">
          <cell r="A1070">
            <v>65031</v>
          </cell>
          <cell r="B1070" t="str">
            <v>RESERVATORIO DE POLIETILENO 310 L C/ TAMPA</v>
          </cell>
          <cell r="C1070" t="str">
            <v>UN</v>
          </cell>
          <cell r="D1070">
            <v>156.85</v>
          </cell>
          <cell r="E1070">
            <v>0</v>
          </cell>
        </row>
        <row r="1071">
          <cell r="A1071">
            <v>65032</v>
          </cell>
          <cell r="B1071" t="str">
            <v>RESERVATORIO DE POLIETILENO 3.000 L C/ TAMPA</v>
          </cell>
          <cell r="C1071" t="str">
            <v>UN</v>
          </cell>
          <cell r="D1071">
            <v>1036.75</v>
          </cell>
          <cell r="E1071">
            <v>0</v>
          </cell>
        </row>
        <row r="1072">
          <cell r="A1072">
            <v>65033</v>
          </cell>
          <cell r="B1072" t="str">
            <v>RESERVATORIO DE POLIETILENO 2.000 L C/ TAMPA</v>
          </cell>
          <cell r="C1072" t="str">
            <v>UN</v>
          </cell>
          <cell r="D1072">
            <v>754.77</v>
          </cell>
          <cell r="E1072">
            <v>0</v>
          </cell>
        </row>
        <row r="1073">
          <cell r="A1073">
            <v>65076</v>
          </cell>
          <cell r="B1073" t="str">
            <v>RESERVATORIO DE POLIETILENO 15.000 L C/ TAMPA</v>
          </cell>
          <cell r="C1073" t="str">
            <v>UN</v>
          </cell>
          <cell r="D1073">
            <v>5805.92</v>
          </cell>
          <cell r="E1073">
            <v>0</v>
          </cell>
        </row>
        <row r="1074">
          <cell r="A1074">
            <v>65256</v>
          </cell>
          <cell r="B1074" t="str">
            <v>CAIXA ACOPLADA PARA BACIA LOUCA DECA REF. CD.00F</v>
          </cell>
          <cell r="C1074" t="str">
            <v>UN</v>
          </cell>
          <cell r="D1074">
            <v>161.32</v>
          </cell>
          <cell r="E1074">
            <v>0</v>
          </cell>
        </row>
        <row r="1075">
          <cell r="A1075">
            <v>65257</v>
          </cell>
          <cell r="B1075" t="str">
            <v>BACIA SIF. LOUCA DECA LINHA RAVENA REF. P.909</v>
          </cell>
          <cell r="C1075" t="str">
            <v>UN</v>
          </cell>
          <cell r="D1075">
            <v>192.04</v>
          </cell>
          <cell r="E1075">
            <v>0</v>
          </cell>
        </row>
        <row r="1076">
          <cell r="A1076">
            <v>65502</v>
          </cell>
          <cell r="B1076" t="str">
            <v>BACIA SIFONADA DE LOUCA BRANCA</v>
          </cell>
          <cell r="C1076" t="str">
            <v>UN</v>
          </cell>
          <cell r="D1076">
            <v>76.92</v>
          </cell>
          <cell r="E1076">
            <v>0</v>
          </cell>
        </row>
        <row r="1077">
          <cell r="A1077">
            <v>65503</v>
          </cell>
          <cell r="B1077" t="str">
            <v>BACIA LOUCA BRANCA C/ CAIXA ACOPLADA</v>
          </cell>
          <cell r="C1077" t="str">
            <v>UN</v>
          </cell>
          <cell r="D1077">
            <v>277.19</v>
          </cell>
          <cell r="E1077">
            <v>0</v>
          </cell>
        </row>
        <row r="1078">
          <cell r="A1078">
            <v>65507</v>
          </cell>
          <cell r="B1078" t="str">
            <v>CABIDE DE LOUCA BRANCA COM 2 GANCHOS</v>
          </cell>
          <cell r="C1078" t="str">
            <v>UN</v>
          </cell>
          <cell r="D1078">
            <v>9.34</v>
          </cell>
          <cell r="E1078">
            <v>0</v>
          </cell>
        </row>
        <row r="1079">
          <cell r="A1079">
            <v>65508</v>
          </cell>
          <cell r="B1079" t="str">
            <v>LAVATORIO DE LOUCA BRANCA COM COLUNA</v>
          </cell>
          <cell r="C1079" t="str">
            <v>UN</v>
          </cell>
          <cell r="D1079">
            <v>90.52</v>
          </cell>
          <cell r="E1079">
            <v>0</v>
          </cell>
        </row>
        <row r="1080">
          <cell r="A1080">
            <v>65509</v>
          </cell>
          <cell r="B1080" t="str">
            <v>LAVATORIO DE LOUCA BRANCA SEM COLUNA</v>
          </cell>
          <cell r="C1080" t="str">
            <v>UN</v>
          </cell>
          <cell r="D1080">
            <v>46.94</v>
          </cell>
          <cell r="E1080">
            <v>0</v>
          </cell>
        </row>
        <row r="1081">
          <cell r="A1081">
            <v>65510</v>
          </cell>
          <cell r="B1081" t="str">
            <v>MICTORIO COLETIVO ACO INOX, AISI 304 N.18 - L=30CM</v>
          </cell>
          <cell r="C1081" t="str">
            <v>M</v>
          </cell>
          <cell r="D1081">
            <v>584.16999999999996</v>
          </cell>
          <cell r="E1081">
            <v>0</v>
          </cell>
        </row>
        <row r="1082">
          <cell r="A1082">
            <v>65511</v>
          </cell>
          <cell r="B1082" t="str">
            <v>MICTORIO DE LOUCA BRANCA</v>
          </cell>
          <cell r="C1082" t="str">
            <v>UN</v>
          </cell>
          <cell r="D1082">
            <v>170.11</v>
          </cell>
          <cell r="E1082">
            <v>0</v>
          </cell>
        </row>
        <row r="1083">
          <cell r="A1083">
            <v>65513</v>
          </cell>
          <cell r="B1083" t="str">
            <v>PIA DE ACO INOXIDAVEL COM CUBA SIMPLES 1.50X0.58M</v>
          </cell>
          <cell r="C1083" t="str">
            <v>UN</v>
          </cell>
          <cell r="D1083">
            <v>1052.76</v>
          </cell>
          <cell r="E1083">
            <v>0</v>
          </cell>
        </row>
        <row r="1084">
          <cell r="A1084">
            <v>65514</v>
          </cell>
          <cell r="B1084" t="str">
            <v>PAPELEIRA DE LOUCA BRANCA 15X15CM</v>
          </cell>
          <cell r="C1084" t="str">
            <v>UN</v>
          </cell>
          <cell r="D1084">
            <v>23.71</v>
          </cell>
          <cell r="E1084">
            <v>0</v>
          </cell>
        </row>
        <row r="1085">
          <cell r="A1085">
            <v>65516</v>
          </cell>
          <cell r="B1085" t="str">
            <v>SABONETEIRA DE LOUCA BRANCA 7.5X15CM</v>
          </cell>
          <cell r="C1085" t="str">
            <v>UN</v>
          </cell>
          <cell r="D1085">
            <v>19.71</v>
          </cell>
          <cell r="E1085">
            <v>0</v>
          </cell>
        </row>
        <row r="1086">
          <cell r="A1086">
            <v>65518</v>
          </cell>
          <cell r="B1086" t="str">
            <v>SABONETEIRA DE LOUCA BRANCA SEM ALCA 15X15CM</v>
          </cell>
          <cell r="C1086" t="str">
            <v>UN</v>
          </cell>
          <cell r="D1086">
            <v>24.33</v>
          </cell>
          <cell r="E1086">
            <v>0</v>
          </cell>
        </row>
        <row r="1087">
          <cell r="A1087">
            <v>65521</v>
          </cell>
          <cell r="B1087" t="str">
            <v>TANQUE SIMPLES 85 LTS ACO INOX, AISI 304 - TS Nº 2</v>
          </cell>
          <cell r="C1087" t="str">
            <v>UN</v>
          </cell>
          <cell r="D1087">
            <v>747.84</v>
          </cell>
          <cell r="E1087">
            <v>0</v>
          </cell>
        </row>
        <row r="1088">
          <cell r="A1088">
            <v>65523</v>
          </cell>
          <cell r="B1088" t="str">
            <v>TANQUE SIMPLES 45 LTS ACO INOX, AISI 304 - TS Nº 1</v>
          </cell>
          <cell r="C1088" t="str">
            <v>UN</v>
          </cell>
          <cell r="D1088">
            <v>479.95</v>
          </cell>
          <cell r="E1088">
            <v>0</v>
          </cell>
        </row>
        <row r="1089">
          <cell r="A1089">
            <v>65524</v>
          </cell>
          <cell r="B1089" t="str">
            <v>CABIDE DE LOUCA BRANCA COM 1 GANCHO</v>
          </cell>
          <cell r="C1089" t="str">
            <v>UN</v>
          </cell>
          <cell r="D1089">
            <v>7.83</v>
          </cell>
          <cell r="E1089">
            <v>0</v>
          </cell>
        </row>
        <row r="1090">
          <cell r="A1090">
            <v>65526</v>
          </cell>
          <cell r="B1090" t="str">
            <v>CHUVEIRO DE PVC C/ BRACO</v>
          </cell>
          <cell r="C1090" t="str">
            <v>UN</v>
          </cell>
          <cell r="D1090">
            <v>8.98</v>
          </cell>
          <cell r="E1090">
            <v>0</v>
          </cell>
        </row>
        <row r="1091">
          <cell r="A1091">
            <v>65528</v>
          </cell>
          <cell r="B1091" t="str">
            <v>BACIA SIFONADA INFANTIL DE LOUCA BRANCA</v>
          </cell>
          <cell r="C1091" t="str">
            <v>UN</v>
          </cell>
          <cell r="D1091">
            <v>146.08000000000001</v>
          </cell>
          <cell r="E1091">
            <v>0</v>
          </cell>
        </row>
        <row r="1092">
          <cell r="A1092">
            <v>65544</v>
          </cell>
          <cell r="B1092" t="str">
            <v>CUBA DE LOUCA BRANCA DE EMBUTIR</v>
          </cell>
          <cell r="C1092" t="str">
            <v>UN</v>
          </cell>
          <cell r="D1092">
            <v>47.63</v>
          </cell>
          <cell r="E1092">
            <v>0</v>
          </cell>
        </row>
        <row r="1093">
          <cell r="A1093">
            <v>65555</v>
          </cell>
          <cell r="B1093" t="str">
            <v>ESCOVARIO AÇO INOX, AISI 304 Nº 18 - (17X43X23CM)</v>
          </cell>
          <cell r="C1093" t="str">
            <v>M</v>
          </cell>
          <cell r="D1093">
            <v>616.04</v>
          </cell>
          <cell r="E1093">
            <v>0</v>
          </cell>
        </row>
        <row r="1094">
          <cell r="A1094">
            <v>65556</v>
          </cell>
          <cell r="B1094" t="str">
            <v>LAVATORIO EM ACO INOX, LIGA AISI 304 N.1</v>
          </cell>
          <cell r="C1094" t="str">
            <v>M</v>
          </cell>
          <cell r="D1094">
            <v>640.1</v>
          </cell>
          <cell r="E1094">
            <v>0</v>
          </cell>
        </row>
        <row r="1095">
          <cell r="A1095">
            <v>65563</v>
          </cell>
          <cell r="B1095" t="str">
            <v>MICTORIO ACO INOX LIGA AISI 304 N.18 C/VALVULA</v>
          </cell>
          <cell r="C1095" t="str">
            <v>M</v>
          </cell>
          <cell r="D1095">
            <v>584.16999999999996</v>
          </cell>
          <cell r="E1095">
            <v>0</v>
          </cell>
        </row>
        <row r="1096">
          <cell r="A1096">
            <v>65565</v>
          </cell>
          <cell r="B1096" t="str">
            <v>TANQUE DUPLO 90 LTS ACO INOX AISI 304 TD Nº 1</v>
          </cell>
          <cell r="C1096" t="str">
            <v>UN</v>
          </cell>
          <cell r="D1096">
            <v>728.65</v>
          </cell>
          <cell r="E1096">
            <v>0</v>
          </cell>
        </row>
        <row r="1097">
          <cell r="A1097">
            <v>65566</v>
          </cell>
          <cell r="B1097" t="str">
            <v>BEBEDOURO EM ACO INOX, AISI 304 CH18 DIM. 45X275CM</v>
          </cell>
          <cell r="C1097" t="str">
            <v>UN</v>
          </cell>
          <cell r="D1097">
            <v>1478.01</v>
          </cell>
          <cell r="E1097">
            <v>0</v>
          </cell>
        </row>
        <row r="1098">
          <cell r="A1098">
            <v>65567</v>
          </cell>
          <cell r="B1098" t="str">
            <v>CUBA EM ACO INOX P/ PANELOES, AISI 304 CH 22</v>
          </cell>
          <cell r="C1098" t="str">
            <v>UN</v>
          </cell>
          <cell r="D1098">
            <v>710.44</v>
          </cell>
          <cell r="E1098">
            <v>0</v>
          </cell>
        </row>
        <row r="1099">
          <cell r="A1099">
            <v>65572</v>
          </cell>
          <cell r="B1099" t="str">
            <v>PIA EM ACO INOX C/ 2 CUBAS NO. 1 0.60 X 2.50 M</v>
          </cell>
          <cell r="C1099" t="str">
            <v>UN</v>
          </cell>
          <cell r="D1099">
            <v>1677.94</v>
          </cell>
          <cell r="E1099">
            <v>0</v>
          </cell>
        </row>
        <row r="1100">
          <cell r="A1100">
            <v>65594</v>
          </cell>
          <cell r="B1100" t="str">
            <v>BEBEDOURO ACO INOX COLETIVO N.18 - L= 0.45 M</v>
          </cell>
          <cell r="C1100" t="str">
            <v>M</v>
          </cell>
          <cell r="D1100">
            <v>649.91</v>
          </cell>
          <cell r="E1100">
            <v>0</v>
          </cell>
        </row>
        <row r="1101">
          <cell r="A1101">
            <v>65596</v>
          </cell>
          <cell r="B1101" t="str">
            <v>TANQUE DUPLO EM MARMORITE - DIM. 100X60 CM</v>
          </cell>
          <cell r="C1101" t="str">
            <v>UN</v>
          </cell>
          <cell r="D1101">
            <v>111.26</v>
          </cell>
          <cell r="E1101">
            <v>0</v>
          </cell>
        </row>
        <row r="1102">
          <cell r="A1102">
            <v>65598</v>
          </cell>
          <cell r="B1102" t="str">
            <v>PIA EM MARMORITE P/COZINHA DIM. 1.20 X 0.60 M</v>
          </cell>
          <cell r="C1102" t="str">
            <v>UN</v>
          </cell>
          <cell r="D1102">
            <v>100.66</v>
          </cell>
          <cell r="E1102">
            <v>0</v>
          </cell>
        </row>
        <row r="1103">
          <cell r="A1103">
            <v>65604</v>
          </cell>
          <cell r="B1103" t="str">
            <v>CABIDE 1 GANCHO REF.08 ACAB. CROMADO</v>
          </cell>
          <cell r="C1103" t="str">
            <v>UN</v>
          </cell>
          <cell r="D1103">
            <v>17.95</v>
          </cell>
          <cell r="E1103">
            <v>0</v>
          </cell>
        </row>
        <row r="1104">
          <cell r="A1104">
            <v>65611</v>
          </cell>
          <cell r="B1104" t="str">
            <v>CANOPLA PARA VALVULA DE DESCARGA</v>
          </cell>
          <cell r="C1104" t="str">
            <v>UN</v>
          </cell>
          <cell r="D1104">
            <v>69.66</v>
          </cell>
          <cell r="E1104">
            <v>0</v>
          </cell>
        </row>
        <row r="1105">
          <cell r="A1105">
            <v>65670</v>
          </cell>
          <cell r="B1105" t="str">
            <v>CUBA LOUCA BRANCA OVAL DE EMBUTIR REF. L37</v>
          </cell>
          <cell r="C1105" t="str">
            <v>UN</v>
          </cell>
          <cell r="D1105">
            <v>47.63</v>
          </cell>
          <cell r="E1105">
            <v>0</v>
          </cell>
        </row>
        <row r="1106">
          <cell r="A1106">
            <v>65697</v>
          </cell>
          <cell r="B1106" t="str">
            <v>BACIA DE LOUÇA BRANCA LINHA APIA</v>
          </cell>
          <cell r="C1106" t="str">
            <v>UN</v>
          </cell>
          <cell r="D1106">
            <v>76.790000000000006</v>
          </cell>
          <cell r="E1106">
            <v>0</v>
          </cell>
        </row>
        <row r="1107">
          <cell r="A1107">
            <v>65698</v>
          </cell>
          <cell r="B1107" t="str">
            <v>LAV. LOUÇA BRANCA S/ COLUNA LINHA COLIBRI</v>
          </cell>
          <cell r="C1107" t="str">
            <v>UN</v>
          </cell>
          <cell r="D1107">
            <v>43.32</v>
          </cell>
          <cell r="E1107">
            <v>0</v>
          </cell>
        </row>
        <row r="1108">
          <cell r="A1108">
            <v>65717</v>
          </cell>
          <cell r="B1108" t="str">
            <v>TANQUE MARMORITE COM 1 BOJO DIM. 60X50CM</v>
          </cell>
          <cell r="C1108" t="str">
            <v>UN</v>
          </cell>
          <cell r="D1108">
            <v>84.71</v>
          </cell>
          <cell r="E1108">
            <v>0</v>
          </cell>
        </row>
        <row r="1109">
          <cell r="A1109">
            <v>65812</v>
          </cell>
          <cell r="B1109" t="str">
            <v>CUBA AÇO INOX RETANG. SIMPLES REF.302 MARCA STRAKE</v>
          </cell>
          <cell r="C1109" t="str">
            <v>UN</v>
          </cell>
          <cell r="D1109">
            <v>144</v>
          </cell>
          <cell r="E1109">
            <v>0</v>
          </cell>
        </row>
        <row r="1110">
          <cell r="A1110">
            <v>65829</v>
          </cell>
          <cell r="B1110" t="str">
            <v>PIA ACO INOXI 01 CUBA N. 1 DIM. 0.60 X 1.80M</v>
          </cell>
          <cell r="C1110" t="str">
            <v>UN</v>
          </cell>
          <cell r="D1110">
            <v>1137.69</v>
          </cell>
          <cell r="E1110">
            <v>0</v>
          </cell>
        </row>
        <row r="1111">
          <cell r="A1111">
            <v>65830</v>
          </cell>
          <cell r="B1111" t="str">
            <v>PIA ACO INOXI 02 CUBAS N. 2 DIM. 0.60 X 2.10M</v>
          </cell>
          <cell r="C1111" t="str">
            <v>UN</v>
          </cell>
          <cell r="D1111">
            <v>1357.36</v>
          </cell>
          <cell r="E1111">
            <v>0</v>
          </cell>
        </row>
        <row r="1112">
          <cell r="A1112">
            <v>65831</v>
          </cell>
          <cell r="B1112" t="str">
            <v>LAVATORIO BRANCO COM COLUNA BRANCO PADRAO POPULAR</v>
          </cell>
          <cell r="C1112" t="str">
            <v>UN</v>
          </cell>
          <cell r="D1112">
            <v>83.03</v>
          </cell>
          <cell r="E1112">
            <v>0</v>
          </cell>
        </row>
        <row r="1113">
          <cell r="A1113">
            <v>65847</v>
          </cell>
          <cell r="B1113" t="str">
            <v>LAVATORIO DE CANTO BRANCO REF. L101</v>
          </cell>
          <cell r="C1113" t="str">
            <v>UN</v>
          </cell>
          <cell r="D1113">
            <v>86.57</v>
          </cell>
          <cell r="E1113">
            <v>0</v>
          </cell>
        </row>
        <row r="1114">
          <cell r="A1114">
            <v>65861</v>
          </cell>
          <cell r="B1114" t="str">
            <v>CUBA AÇO INOX RETANG. SIMPLES REF.301 MARCA STRAKE</v>
          </cell>
          <cell r="C1114" t="str">
            <v>UN</v>
          </cell>
          <cell r="D1114">
            <v>111.24</v>
          </cell>
          <cell r="E1114">
            <v>0</v>
          </cell>
        </row>
        <row r="1115">
          <cell r="A1115">
            <v>65880</v>
          </cell>
          <cell r="B1115" t="str">
            <v>PORTA SABONETE LIQU ABS - BRANCO C/ RESERVATORIO</v>
          </cell>
          <cell r="C1115" t="str">
            <v>UN</v>
          </cell>
          <cell r="D1115">
            <v>35.64</v>
          </cell>
          <cell r="E1115">
            <v>0</v>
          </cell>
        </row>
        <row r="1116">
          <cell r="A1116">
            <v>65881</v>
          </cell>
          <cell r="B1116" t="str">
            <v>LAVATORIO DE CANTO BRANCO COLECAO MASTER - L76</v>
          </cell>
          <cell r="C1116" t="str">
            <v>UN</v>
          </cell>
          <cell r="D1116">
            <v>649.12</v>
          </cell>
          <cell r="E1116">
            <v>0</v>
          </cell>
        </row>
        <row r="1117">
          <cell r="A1117">
            <v>65973</v>
          </cell>
          <cell r="B1117" t="str">
            <v>BACIA SIF. LOUCA BRANCA VOGUE PLUS CONFORT - P51</v>
          </cell>
          <cell r="C1117" t="str">
            <v>UN</v>
          </cell>
          <cell r="D1117">
            <v>426.15</v>
          </cell>
          <cell r="E1117">
            <v>0</v>
          </cell>
        </row>
        <row r="1118">
          <cell r="A1118">
            <v>66008</v>
          </cell>
          <cell r="B1118" t="str">
            <v>TORNEIRA PARA TANQUE</v>
          </cell>
          <cell r="C1118" t="str">
            <v>UN</v>
          </cell>
          <cell r="D1118">
            <v>42.5</v>
          </cell>
          <cell r="E1118">
            <v>0</v>
          </cell>
        </row>
        <row r="1119">
          <cell r="A1119">
            <v>66009</v>
          </cell>
          <cell r="B1119" t="str">
            <v>TORNEIRA DE PRESSAO CROMADA DE USO GERAL 1/2'</v>
          </cell>
          <cell r="C1119" t="str">
            <v>UN</v>
          </cell>
          <cell r="D1119">
            <v>31.99</v>
          </cell>
          <cell r="E1119">
            <v>0</v>
          </cell>
        </row>
        <row r="1120">
          <cell r="A1120">
            <v>66012</v>
          </cell>
          <cell r="B1120" t="str">
            <v>TORNEIRA DE PRESSAO CROMADA P/LAVATORIO 1/2"</v>
          </cell>
          <cell r="C1120" t="str">
            <v>UN</v>
          </cell>
          <cell r="D1120">
            <v>36.96</v>
          </cell>
          <cell r="E1120">
            <v>0</v>
          </cell>
        </row>
        <row r="1121">
          <cell r="A1121">
            <v>66013</v>
          </cell>
          <cell r="B1121" t="str">
            <v>TUBO DE LIGACAO CROMADO COM CANOPLA</v>
          </cell>
          <cell r="C1121" t="str">
            <v>UN</v>
          </cell>
          <cell r="D1121">
            <v>40.01</v>
          </cell>
          <cell r="E1121">
            <v>0</v>
          </cell>
        </row>
        <row r="1122">
          <cell r="A1122">
            <v>66022</v>
          </cell>
          <cell r="B1122" t="str">
            <v>TORNEIRA DE JARDIM CROMADA 3/4" OU 1/2"</v>
          </cell>
          <cell r="C1122" t="str">
            <v>UN</v>
          </cell>
          <cell r="D1122">
            <v>31.08</v>
          </cell>
          <cell r="E1122">
            <v>0</v>
          </cell>
        </row>
        <row r="1123">
          <cell r="A1123">
            <v>66024</v>
          </cell>
          <cell r="B1123" t="str">
            <v>TORNEIRA DE PRESSAO EM PVC P/ PIA 1/2"</v>
          </cell>
          <cell r="C1123" t="str">
            <v>UN</v>
          </cell>
          <cell r="D1123">
            <v>3.72</v>
          </cell>
          <cell r="E1123">
            <v>0</v>
          </cell>
        </row>
        <row r="1124">
          <cell r="A1124">
            <v>66027</v>
          </cell>
          <cell r="B1124" t="str">
            <v>DUCHA MANUAL ACQUA JET C/ REG.PRESSÃO REF. C 2195</v>
          </cell>
          <cell r="C1124" t="str">
            <v>UN</v>
          </cell>
          <cell r="D1124">
            <v>125.99</v>
          </cell>
          <cell r="E1124">
            <v>0</v>
          </cell>
        </row>
        <row r="1125">
          <cell r="A1125">
            <v>66030</v>
          </cell>
          <cell r="B1125" t="str">
            <v>FILTRO AQUALAR LONGO VAZAO DE 360L/H</v>
          </cell>
          <cell r="C1125" t="str">
            <v>UN</v>
          </cell>
          <cell r="D1125">
            <v>127.89</v>
          </cell>
          <cell r="E1125">
            <v>0</v>
          </cell>
        </row>
        <row r="1126">
          <cell r="A1126">
            <v>66045</v>
          </cell>
          <cell r="B1126" t="str">
            <v>TORNEIRA PARA PIA CROMADA 1/2" FABRIMAR OU SIMILAR</v>
          </cell>
          <cell r="C1126" t="str">
            <v>UN</v>
          </cell>
          <cell r="D1126">
            <v>50.29</v>
          </cell>
          <cell r="E1126">
            <v>0</v>
          </cell>
        </row>
        <row r="1127">
          <cell r="A1127">
            <v>66048</v>
          </cell>
          <cell r="B1127" t="str">
            <v>TORNEIRA ESGUICHO EM ACO INOX</v>
          </cell>
          <cell r="C1127" t="str">
            <v>UN</v>
          </cell>
          <cell r="D1127">
            <v>70.959999999999994</v>
          </cell>
          <cell r="E1127">
            <v>0</v>
          </cell>
        </row>
        <row r="1128">
          <cell r="A1128">
            <v>66049</v>
          </cell>
          <cell r="B1128" t="str">
            <v>TORNEIRA EM PVC PARA LAVATORIO</v>
          </cell>
          <cell r="C1128" t="str">
            <v>UN</v>
          </cell>
          <cell r="D1128">
            <v>8.25</v>
          </cell>
          <cell r="E1128">
            <v>0</v>
          </cell>
        </row>
        <row r="1129">
          <cell r="A1129">
            <v>66058</v>
          </cell>
          <cell r="B1129" t="str">
            <v>TORNEIRA DE PRESSAO CROMADA PARA TANQUE DE 1/2"</v>
          </cell>
          <cell r="C1129" t="str">
            <v>UN</v>
          </cell>
          <cell r="D1129">
            <v>38.42</v>
          </cell>
          <cell r="E1129">
            <v>0</v>
          </cell>
        </row>
        <row r="1130">
          <cell r="A1130">
            <v>66074</v>
          </cell>
          <cell r="B1130" t="str">
            <v>TORN. CROMADA 1/2" LINHA PRATIKA REF.1157 FABRIMAR</v>
          </cell>
          <cell r="C1130" t="str">
            <v>UN</v>
          </cell>
          <cell r="D1130">
            <v>150.28</v>
          </cell>
          <cell r="E1130">
            <v>0</v>
          </cell>
        </row>
        <row r="1131">
          <cell r="A1131">
            <v>66124</v>
          </cell>
          <cell r="B1131" t="str">
            <v>TORNEIRA PRESSÃO CROMADA USO GERAL 3/4"</v>
          </cell>
          <cell r="C1131" t="str">
            <v>UN</v>
          </cell>
          <cell r="D1131">
            <v>33.69</v>
          </cell>
          <cell r="E1131">
            <v>0</v>
          </cell>
        </row>
        <row r="1132">
          <cell r="A1132">
            <v>66125</v>
          </cell>
          <cell r="B1132" t="str">
            <v>FILTRO AQUALAR CURTO COM VAZAO DE180 L/H</v>
          </cell>
          <cell r="C1132" t="str">
            <v>UN</v>
          </cell>
          <cell r="D1132">
            <v>91.35</v>
          </cell>
          <cell r="E1132">
            <v>0</v>
          </cell>
        </row>
        <row r="1133">
          <cell r="A1133">
            <v>66126</v>
          </cell>
          <cell r="B1133" t="str">
            <v>VELA PARA FILTRO AQUALAR LONGO VAZAO 360L/H</v>
          </cell>
          <cell r="C1133" t="str">
            <v>UN</v>
          </cell>
          <cell r="D1133">
            <v>39.61</v>
          </cell>
          <cell r="E1133">
            <v>0</v>
          </cell>
        </row>
        <row r="1134">
          <cell r="A1134">
            <v>66127</v>
          </cell>
          <cell r="B1134" t="str">
            <v>VELA PARA FILTRO AQUALAR CURTO VAZAO 180L/H</v>
          </cell>
          <cell r="C1134" t="str">
            <v>UN</v>
          </cell>
          <cell r="D1134">
            <v>33.83</v>
          </cell>
          <cell r="E1134">
            <v>0</v>
          </cell>
        </row>
        <row r="1135">
          <cell r="A1135">
            <v>66128</v>
          </cell>
          <cell r="B1135" t="str">
            <v>TORNEIRA DE PLASTICO PARA FILTRO DE BARRO</v>
          </cell>
          <cell r="C1135" t="str">
            <v>UN</v>
          </cell>
          <cell r="D1135">
            <v>4.97</v>
          </cell>
          <cell r="E1135">
            <v>0</v>
          </cell>
        </row>
        <row r="1136">
          <cell r="A1136">
            <v>66156</v>
          </cell>
          <cell r="B1136" t="str">
            <v>TORNEIRA PAREDE C/BICA ARTICULÁVEL, DOCOL 55300006</v>
          </cell>
          <cell r="C1136" t="str">
            <v>UN</v>
          </cell>
          <cell r="D1136">
            <v>182.98</v>
          </cell>
          <cell r="E1136">
            <v>0</v>
          </cell>
        </row>
        <row r="1137">
          <cell r="A1137">
            <v>66178</v>
          </cell>
          <cell r="B1137" t="str">
            <v>VALVULA DESC ANTI-VANDALISMO P/ MICTORIO DOCOL/EQU</v>
          </cell>
          <cell r="C1137" t="str">
            <v>UN</v>
          </cell>
          <cell r="D1137">
            <v>346.65</v>
          </cell>
          <cell r="E1137">
            <v>0</v>
          </cell>
        </row>
        <row r="1138">
          <cell r="A1138">
            <v>66207</v>
          </cell>
          <cell r="B1138" t="str">
            <v>LAVATÓRIO COM COLUNA BRANCA CONFORT L51+CS1V</v>
          </cell>
          <cell r="C1138" t="str">
            <v>UN</v>
          </cell>
          <cell r="D1138">
            <v>214.11</v>
          </cell>
          <cell r="E1138">
            <v>0</v>
          </cell>
        </row>
        <row r="1139">
          <cell r="A1139">
            <v>66301</v>
          </cell>
          <cell r="B1139" t="str">
            <v>TORNEIRA PAREDE ANTI-VANDAL 1182-AV BIOPRESS 140MM</v>
          </cell>
          <cell r="C1139" t="str">
            <v>UN</v>
          </cell>
          <cell r="D1139">
            <v>226.53</v>
          </cell>
          <cell r="E1139">
            <v>0</v>
          </cell>
        </row>
        <row r="1140">
          <cell r="A1140">
            <v>66315</v>
          </cell>
          <cell r="B1140" t="str">
            <v>TORNEIRA JARDIM REF. 1153 C37, IZY, DECA</v>
          </cell>
          <cell r="C1140" t="str">
            <v>UN</v>
          </cell>
          <cell r="D1140">
            <v>48.44</v>
          </cell>
          <cell r="E1140">
            <v>0</v>
          </cell>
        </row>
        <row r="1141">
          <cell r="A1141">
            <v>66335</v>
          </cell>
          <cell r="B1141" t="str">
            <v>TUBO LIGACAO MICTORIO ANTIVAND 00132606 DOCOL/EQU</v>
          </cell>
          <cell r="C1141" t="str">
            <v>UN</v>
          </cell>
          <cell r="D1141">
            <v>77.12</v>
          </cell>
          <cell r="E1141">
            <v>0</v>
          </cell>
        </row>
        <row r="1142">
          <cell r="A1142">
            <v>66592</v>
          </cell>
          <cell r="B1142" t="str">
            <v>FILTRO INDUST DE AREIA TIPO FA 4000 METALSINTER</v>
          </cell>
          <cell r="C1142" t="str">
            <v>UN</v>
          </cell>
          <cell r="D1142">
            <v>13572.24</v>
          </cell>
          <cell r="E1142">
            <v>0</v>
          </cell>
        </row>
        <row r="1143">
          <cell r="A1143">
            <v>66608</v>
          </cell>
          <cell r="B1143" t="str">
            <v>CHUVEIRO CROMADO COM DESVIADOR FLEXIVEL 1975C</v>
          </cell>
          <cell r="C1143" t="str">
            <v>UN</v>
          </cell>
          <cell r="D1143">
            <v>336.42</v>
          </cell>
          <cell r="E1143">
            <v>0</v>
          </cell>
        </row>
        <row r="1144">
          <cell r="A1144">
            <v>66618</v>
          </cell>
          <cell r="B1144" t="str">
            <v>MICTORIO LOUCA BRANCA C/ SIFÃO INTEGRADO M712</v>
          </cell>
          <cell r="C1144" t="str">
            <v>UN</v>
          </cell>
          <cell r="D1144">
            <v>391.07</v>
          </cell>
          <cell r="E1144">
            <v>0</v>
          </cell>
        </row>
        <row r="1145">
          <cell r="A1145">
            <v>67001</v>
          </cell>
          <cell r="B1145" t="str">
            <v>ABRIGO PARA HIDRANTE 60X90X17CM C/ TAMPA E SUPORTE</v>
          </cell>
          <cell r="C1145" t="str">
            <v>UN</v>
          </cell>
          <cell r="D1145">
            <v>215.1</v>
          </cell>
          <cell r="E1145">
            <v>0</v>
          </cell>
        </row>
        <row r="1146">
          <cell r="A1146">
            <v>67004</v>
          </cell>
          <cell r="B1146" t="str">
            <v>EXTINTOR DE GAS CARBONICO CO2-6 KG</v>
          </cell>
          <cell r="C1146" t="str">
            <v>UN</v>
          </cell>
          <cell r="D1146">
            <v>375.44</v>
          </cell>
          <cell r="E1146">
            <v>0</v>
          </cell>
        </row>
        <row r="1147">
          <cell r="A1147">
            <v>67007</v>
          </cell>
          <cell r="B1147" t="str">
            <v>CAIXA DE ACO 40X60X40CM P/HIDRANTE DE RECALQUE</v>
          </cell>
          <cell r="C1147" t="str">
            <v>UN</v>
          </cell>
          <cell r="D1147">
            <v>144.28</v>
          </cell>
          <cell r="E1147">
            <v>0</v>
          </cell>
        </row>
        <row r="1148">
          <cell r="A1148">
            <v>67008</v>
          </cell>
          <cell r="B1148" t="str">
            <v>ADAPTADOR LATAO ROSCA P/ ENGATE RAPIDO 63X63MM</v>
          </cell>
          <cell r="C1148" t="str">
            <v>UN</v>
          </cell>
          <cell r="D1148">
            <v>39.04</v>
          </cell>
          <cell r="E1148">
            <v>0</v>
          </cell>
        </row>
        <row r="1149">
          <cell r="A1149">
            <v>67035</v>
          </cell>
          <cell r="B1149" t="str">
            <v>SUPORTE PARA EXTINTOR</v>
          </cell>
          <cell r="C1149" t="str">
            <v>UN</v>
          </cell>
          <cell r="D1149">
            <v>5</v>
          </cell>
          <cell r="E1149">
            <v>0</v>
          </cell>
        </row>
        <row r="1150">
          <cell r="A1150">
            <v>67040</v>
          </cell>
          <cell r="B1150" t="str">
            <v>EXTINTOR AP 10 LITROS</v>
          </cell>
          <cell r="C1150" t="str">
            <v>UN</v>
          </cell>
          <cell r="D1150">
            <v>103.97</v>
          </cell>
          <cell r="E1150">
            <v>0</v>
          </cell>
        </row>
        <row r="1151">
          <cell r="A1151">
            <v>67042</v>
          </cell>
          <cell r="B1151" t="str">
            <v>EXTINTOR PORTATIL PO QUIMICO SECO ABC- 4KG</v>
          </cell>
          <cell r="C1151" t="str">
            <v>UN</v>
          </cell>
          <cell r="D1151">
            <v>103.17</v>
          </cell>
          <cell r="E1151">
            <v>0</v>
          </cell>
        </row>
        <row r="1152">
          <cell r="A1152">
            <v>67043</v>
          </cell>
          <cell r="B1152" t="str">
            <v>EXTINTOR PORTATIL PO QUIMICO SECO ABC- 6KG</v>
          </cell>
          <cell r="C1152" t="str">
            <v>UN</v>
          </cell>
          <cell r="D1152">
            <v>107.47</v>
          </cell>
          <cell r="E1152">
            <v>0</v>
          </cell>
        </row>
        <row r="1153">
          <cell r="A1153">
            <v>67046</v>
          </cell>
          <cell r="B1153" t="str">
            <v>REGISTRO GLOBO ANGULAR 45º DE 63MM</v>
          </cell>
          <cell r="C1153" t="str">
            <v>UN</v>
          </cell>
          <cell r="D1153">
            <v>93.45</v>
          </cell>
          <cell r="E1153">
            <v>0</v>
          </cell>
        </row>
        <row r="1154">
          <cell r="A1154">
            <v>67047</v>
          </cell>
          <cell r="B1154" t="str">
            <v>MANGUEIRA DE 63MM X 20 M C/ ENGATE STORZ</v>
          </cell>
          <cell r="C1154" t="str">
            <v>UN</v>
          </cell>
          <cell r="D1154">
            <v>381.24</v>
          </cell>
          <cell r="E1154">
            <v>0</v>
          </cell>
        </row>
        <row r="1155">
          <cell r="A1155">
            <v>67050</v>
          </cell>
          <cell r="B1155" t="str">
            <v>REGISTRO GLOBO ANGULAR 90 DE 63MM</v>
          </cell>
          <cell r="C1155" t="str">
            <v>UN</v>
          </cell>
          <cell r="D1155">
            <v>125.67</v>
          </cell>
          <cell r="E1155">
            <v>0</v>
          </cell>
        </row>
        <row r="1156">
          <cell r="A1156">
            <v>67051</v>
          </cell>
          <cell r="B1156" t="str">
            <v>TAMPAO COM CORRENTE PARA REGISTRO GLOBO ANGULAR</v>
          </cell>
          <cell r="C1156" t="str">
            <v>UN</v>
          </cell>
          <cell r="D1156">
            <v>52.5</v>
          </cell>
          <cell r="E1156">
            <v>0</v>
          </cell>
        </row>
        <row r="1157">
          <cell r="A1157">
            <v>67058</v>
          </cell>
          <cell r="B1157" t="str">
            <v>TAMPA EM FOFO 40X40 CM,C/ INSCRIÇAO P/CX INCENDIO</v>
          </cell>
          <cell r="C1157" t="str">
            <v>UN</v>
          </cell>
          <cell r="D1157">
            <v>112.42</v>
          </cell>
          <cell r="E1157">
            <v>0</v>
          </cell>
        </row>
        <row r="1158">
          <cell r="A1158">
            <v>67061</v>
          </cell>
          <cell r="B1158" t="str">
            <v>CHAVE P/ CONEXOES TIPO STORZ DN 1 1/2X 2 1/2"</v>
          </cell>
          <cell r="C1158" t="str">
            <v>UN</v>
          </cell>
          <cell r="D1158">
            <v>8.83</v>
          </cell>
          <cell r="E1158">
            <v>0</v>
          </cell>
        </row>
        <row r="1159">
          <cell r="A1159">
            <v>67067</v>
          </cell>
          <cell r="B1159" t="str">
            <v>SINALIZ DE EMERGENCIA (SAIDA) ACRILICA AUTONOMA</v>
          </cell>
          <cell r="C1159" t="str">
            <v>UN</v>
          </cell>
          <cell r="D1159">
            <v>90.65</v>
          </cell>
          <cell r="E1159">
            <v>0</v>
          </cell>
        </row>
        <row r="1160">
          <cell r="A1160">
            <v>67090</v>
          </cell>
          <cell r="B1160" t="str">
            <v>PLACA SINAL SEG COD 13-315/158;COD S2 NT14/2010-ES</v>
          </cell>
          <cell r="C1160" t="str">
            <v>UN</v>
          </cell>
          <cell r="D1160">
            <v>14.56</v>
          </cell>
          <cell r="E1160">
            <v>0</v>
          </cell>
        </row>
        <row r="1161">
          <cell r="A1161">
            <v>67094</v>
          </cell>
          <cell r="B1161" t="str">
            <v>ESGUICHO EM LATAO REGULAVEL 2.1/2"</v>
          </cell>
          <cell r="C1161" t="str">
            <v>UN</v>
          </cell>
          <cell r="D1161">
            <v>85.71</v>
          </cell>
          <cell r="E1161">
            <v>0</v>
          </cell>
        </row>
        <row r="1162">
          <cell r="A1162">
            <v>67507</v>
          </cell>
          <cell r="B1162" t="str">
            <v>RALO SIFONADO EM PVC 100X40MM COM GRELHA EM PVC</v>
          </cell>
          <cell r="C1162" t="str">
            <v>UN</v>
          </cell>
          <cell r="D1162">
            <v>8.64</v>
          </cell>
          <cell r="E1162">
            <v>0</v>
          </cell>
        </row>
        <row r="1163">
          <cell r="A1163">
            <v>67510</v>
          </cell>
          <cell r="B1163" t="str">
            <v>RALO SECO PVC 10 CM, COM GRELHA EM PVC</v>
          </cell>
          <cell r="C1163" t="str">
            <v>UN</v>
          </cell>
          <cell r="D1163">
            <v>7.73</v>
          </cell>
          <cell r="E1163">
            <v>0</v>
          </cell>
        </row>
        <row r="1164">
          <cell r="A1164">
            <v>67512</v>
          </cell>
          <cell r="B1164" t="str">
            <v>CAIXA SIFONADA PVC 150X150X50MM,COM GRELHA EM PVC</v>
          </cell>
          <cell r="C1164" t="str">
            <v>UN</v>
          </cell>
          <cell r="D1164">
            <v>16.95</v>
          </cell>
          <cell r="E1164">
            <v>0</v>
          </cell>
        </row>
        <row r="1165">
          <cell r="A1165">
            <v>67522</v>
          </cell>
          <cell r="B1165" t="str">
            <v>TAMPA P/ CAIXA SIFONADA EM PVC 15X15CM</v>
          </cell>
          <cell r="C1165" t="str">
            <v>UN</v>
          </cell>
          <cell r="D1165">
            <v>4.5</v>
          </cell>
          <cell r="E1165">
            <v>0</v>
          </cell>
        </row>
        <row r="1166">
          <cell r="A1166">
            <v>67552</v>
          </cell>
          <cell r="B1166" t="str">
            <v>RALO SIFONADO 10X10CM C/ GRELHA QUADRADA PVC</v>
          </cell>
          <cell r="C1166" t="str">
            <v>UN</v>
          </cell>
          <cell r="D1166">
            <v>9.51</v>
          </cell>
          <cell r="E1166">
            <v>0</v>
          </cell>
        </row>
        <row r="1167">
          <cell r="A1167">
            <v>67560</v>
          </cell>
          <cell r="B1167" t="str">
            <v>RALO SIFONADO EM PVC 100X40MM, C/ GRELHA CROMADA</v>
          </cell>
          <cell r="C1167" t="str">
            <v>UN</v>
          </cell>
          <cell r="D1167">
            <v>16.96</v>
          </cell>
          <cell r="E1167">
            <v>0</v>
          </cell>
        </row>
        <row r="1168">
          <cell r="A1168">
            <v>67561</v>
          </cell>
          <cell r="B1168" t="str">
            <v>RALO SECO PVC 10CM, C/ GRELHA CROMADA</v>
          </cell>
          <cell r="C1168" t="str">
            <v>UN</v>
          </cell>
          <cell r="D1168">
            <v>16.16</v>
          </cell>
          <cell r="E1168">
            <v>0</v>
          </cell>
        </row>
        <row r="1169">
          <cell r="A1169">
            <v>67578</v>
          </cell>
          <cell r="B1169" t="str">
            <v>RALO SIFONADO 100X40MM C/GRELHA PVC,AKROS MAR.REF.</v>
          </cell>
          <cell r="C1169" t="str">
            <v>UN</v>
          </cell>
          <cell r="D1169">
            <v>8.64</v>
          </cell>
          <cell r="E1169">
            <v>0</v>
          </cell>
        </row>
        <row r="1170">
          <cell r="A1170">
            <v>67650</v>
          </cell>
          <cell r="B1170" t="str">
            <v>TAMPA ACO INOX P/ CAIXA SIFONADA 150X150MM</v>
          </cell>
          <cell r="C1170" t="str">
            <v>UN</v>
          </cell>
          <cell r="D1170">
            <v>24.34</v>
          </cell>
          <cell r="E1170">
            <v>0</v>
          </cell>
        </row>
        <row r="1171">
          <cell r="A1171">
            <v>67651</v>
          </cell>
          <cell r="B1171" t="str">
            <v>TAMPA ACO INOX PARA RALO 100X100MM</v>
          </cell>
          <cell r="C1171" t="str">
            <v>UN</v>
          </cell>
          <cell r="D1171">
            <v>15.03</v>
          </cell>
          <cell r="E1171">
            <v>0</v>
          </cell>
        </row>
        <row r="1172">
          <cell r="A1172">
            <v>67652</v>
          </cell>
          <cell r="B1172" t="str">
            <v>TAMPA PVC PARA RALO 100X100MM</v>
          </cell>
          <cell r="C1172" t="str">
            <v>UN</v>
          </cell>
          <cell r="D1172">
            <v>2.2799999999999998</v>
          </cell>
          <cell r="E1172">
            <v>0</v>
          </cell>
        </row>
        <row r="1173">
          <cell r="A1173">
            <v>67653</v>
          </cell>
          <cell r="B1173" t="str">
            <v>CAIXA DE INSPECAO EM PVC DIAM 150MM C/ TAMPA CEGA</v>
          </cell>
          <cell r="C1173" t="str">
            <v>UN</v>
          </cell>
          <cell r="D1173">
            <v>26</v>
          </cell>
          <cell r="E1173">
            <v>0</v>
          </cell>
        </row>
        <row r="1174">
          <cell r="A1174">
            <v>68001</v>
          </cell>
          <cell r="B1174" t="str">
            <v>CHAPA GALVANIZADA Nº 26 DESENV 30 CM</v>
          </cell>
          <cell r="C1174" t="str">
            <v>M</v>
          </cell>
          <cell r="D1174">
            <v>6.43</v>
          </cell>
          <cell r="E1174">
            <v>0</v>
          </cell>
        </row>
        <row r="1175">
          <cell r="A1175">
            <v>68017</v>
          </cell>
          <cell r="B1175" t="str">
            <v>SUPORTE PARA CALHA</v>
          </cell>
          <cell r="C1175" t="str">
            <v>UN</v>
          </cell>
          <cell r="D1175">
            <v>8.26</v>
          </cell>
          <cell r="E1175">
            <v>0</v>
          </cell>
        </row>
        <row r="1176">
          <cell r="A1176">
            <v>68023</v>
          </cell>
          <cell r="B1176" t="str">
            <v>CALHA EM CHAPA DE ACO GALVANIZADO N. 20 40X25X25CM</v>
          </cell>
          <cell r="C1176" t="str">
            <v>M</v>
          </cell>
          <cell r="D1176">
            <v>65.959999999999994</v>
          </cell>
          <cell r="E1176">
            <v>0</v>
          </cell>
        </row>
        <row r="1177">
          <cell r="A1177">
            <v>68064</v>
          </cell>
          <cell r="B1177" t="str">
            <v>CALHA PVC LARGURA DE 400 MM</v>
          </cell>
          <cell r="C1177" t="str">
            <v>M</v>
          </cell>
          <cell r="D1177">
            <v>13.81</v>
          </cell>
          <cell r="E1177">
            <v>0</v>
          </cell>
        </row>
        <row r="1178">
          <cell r="A1178">
            <v>68065</v>
          </cell>
          <cell r="B1178" t="str">
            <v>CALHA PVC LARGURA DE 600 MM</v>
          </cell>
          <cell r="C1178" t="str">
            <v>M</v>
          </cell>
          <cell r="D1178">
            <v>19.97</v>
          </cell>
          <cell r="E1178">
            <v>0</v>
          </cell>
        </row>
        <row r="1179">
          <cell r="A1179">
            <v>68067</v>
          </cell>
          <cell r="B1179" t="str">
            <v>GRELHA 20CM FERRO1/2" C.3CM CANT3/4X1/8"REQ1X3/16</v>
          </cell>
          <cell r="C1179" t="str">
            <v>M</v>
          </cell>
          <cell r="D1179">
            <v>80.88</v>
          </cell>
          <cell r="E1179">
            <v>0</v>
          </cell>
        </row>
        <row r="1180">
          <cell r="A1180">
            <v>69172</v>
          </cell>
          <cell r="B1180" t="str">
            <v>FITA PERFURADA WALSYWA 19MM X 30M</v>
          </cell>
          <cell r="C1180" t="str">
            <v>UN</v>
          </cell>
          <cell r="D1180">
            <v>24.76</v>
          </cell>
          <cell r="E1180">
            <v>0</v>
          </cell>
        </row>
        <row r="1181">
          <cell r="A1181">
            <v>69404</v>
          </cell>
          <cell r="B1181" t="str">
            <v>FILTRO ANAER.ANEL CONCR.DIAM 1M,H=2.0M,C/ VISITA</v>
          </cell>
          <cell r="C1181" t="str">
            <v>UN</v>
          </cell>
          <cell r="D1181">
            <v>727.5</v>
          </cell>
          <cell r="E1181">
            <v>0</v>
          </cell>
        </row>
        <row r="1182">
          <cell r="A1182">
            <v>69409</v>
          </cell>
          <cell r="B1182" t="str">
            <v>CAIXA SIF. 150X150X50MM C/GRELHA QUADRADA INOX</v>
          </cell>
          <cell r="C1182" t="str">
            <v>UN</v>
          </cell>
          <cell r="D1182">
            <v>35.51</v>
          </cell>
          <cell r="E1182">
            <v>0</v>
          </cell>
        </row>
        <row r="1183">
          <cell r="A1183">
            <v>69421</v>
          </cell>
          <cell r="B1183" t="str">
            <v>LAVATORIO C/ COLUNA RAVENA DECA L91/C9 BRANCO</v>
          </cell>
          <cell r="C1183" t="str">
            <v>UN</v>
          </cell>
          <cell r="D1183">
            <v>144.66999999999999</v>
          </cell>
          <cell r="E1183">
            <v>0</v>
          </cell>
        </row>
        <row r="1184">
          <cell r="A1184">
            <v>69438</v>
          </cell>
          <cell r="B1184" t="str">
            <v>REPARO COMPLETO P/ CX DESCARGA SOBREPOR PVC</v>
          </cell>
          <cell r="C1184" t="str">
            <v>UN</v>
          </cell>
          <cell r="D1184">
            <v>81.25</v>
          </cell>
          <cell r="E1184">
            <v>0</v>
          </cell>
        </row>
        <row r="1185">
          <cell r="A1185">
            <v>69445</v>
          </cell>
          <cell r="B1185" t="str">
            <v>ASSENTO BACIA VOGUE CONFORT BRANCO - AP 52</v>
          </cell>
          <cell r="C1185" t="str">
            <v>UN</v>
          </cell>
          <cell r="D1185">
            <v>565.52</v>
          </cell>
          <cell r="E1185">
            <v>0</v>
          </cell>
        </row>
        <row r="1186">
          <cell r="A1186">
            <v>69503</v>
          </cell>
          <cell r="B1186" t="str">
            <v>BOLSA DE BORRACHA Ø 1.1/2" P/ BACIA SANIT.</v>
          </cell>
          <cell r="C1186" t="str">
            <v>UN</v>
          </cell>
          <cell r="D1186">
            <v>2.96</v>
          </cell>
          <cell r="E1186">
            <v>0</v>
          </cell>
        </row>
        <row r="1187">
          <cell r="A1187">
            <v>69505</v>
          </cell>
          <cell r="B1187" t="str">
            <v>ENGATES DE PVC</v>
          </cell>
          <cell r="C1187" t="str">
            <v>UN</v>
          </cell>
          <cell r="D1187">
            <v>3.32</v>
          </cell>
          <cell r="E1187">
            <v>0</v>
          </cell>
        </row>
        <row r="1188">
          <cell r="A1188">
            <v>69506</v>
          </cell>
          <cell r="B1188" t="str">
            <v>ENGATES CROMADOS</v>
          </cell>
          <cell r="C1188" t="str">
            <v>UN</v>
          </cell>
          <cell r="D1188">
            <v>18.27</v>
          </cell>
          <cell r="E1188">
            <v>0</v>
          </cell>
        </row>
        <row r="1189">
          <cell r="A1189">
            <v>69509</v>
          </cell>
          <cell r="B1189" t="str">
            <v>ASSENTO DE PLASTICO PARA VASO SANITARIO</v>
          </cell>
          <cell r="C1189" t="str">
            <v>UN</v>
          </cell>
          <cell r="D1189">
            <v>20.87</v>
          </cell>
          <cell r="E1189">
            <v>0</v>
          </cell>
        </row>
        <row r="1190">
          <cell r="A1190">
            <v>69512</v>
          </cell>
          <cell r="B1190" t="str">
            <v>FITA DE VEDACAO 18MM X 50M</v>
          </cell>
          <cell r="C1190" t="str">
            <v>M</v>
          </cell>
          <cell r="D1190">
            <v>0.12</v>
          </cell>
          <cell r="E1190">
            <v>0</v>
          </cell>
        </row>
        <row r="1191">
          <cell r="A1191">
            <v>69513</v>
          </cell>
          <cell r="B1191" t="str">
            <v>ADESIVO PARA TUBO DE PVC RIGIDO</v>
          </cell>
          <cell r="C1191" t="str">
            <v>KG</v>
          </cell>
          <cell r="D1191">
            <v>29.99</v>
          </cell>
          <cell r="E1191">
            <v>0</v>
          </cell>
        </row>
        <row r="1192">
          <cell r="A1192">
            <v>69514</v>
          </cell>
          <cell r="B1192" t="str">
            <v>SOLUCAO LIMPADORA PARA PVC RIGIDO</v>
          </cell>
          <cell r="C1192" t="str">
            <v>L</v>
          </cell>
          <cell r="D1192">
            <v>31.23</v>
          </cell>
          <cell r="E1192">
            <v>0</v>
          </cell>
        </row>
        <row r="1193">
          <cell r="A1193">
            <v>69515</v>
          </cell>
          <cell r="B1193" t="str">
            <v>TORNEIRA DE BOIA EM LATAO(BOIA PLAST)DN 20MM (3/4)</v>
          </cell>
          <cell r="C1193" t="str">
            <v>UN</v>
          </cell>
          <cell r="D1193">
            <v>32.69</v>
          </cell>
          <cell r="E1193">
            <v>0</v>
          </cell>
        </row>
        <row r="1194">
          <cell r="A1194">
            <v>69516</v>
          </cell>
          <cell r="B1194" t="str">
            <v>TORN.DE BOIA EM LATAO (BOIA PLAST) DN 25MM (1')</v>
          </cell>
          <cell r="C1194" t="str">
            <v>UN</v>
          </cell>
          <cell r="D1194">
            <v>46.57</v>
          </cell>
          <cell r="E1194">
            <v>0</v>
          </cell>
        </row>
        <row r="1195">
          <cell r="A1195">
            <v>69522</v>
          </cell>
          <cell r="B1195" t="str">
            <v>TORN.DE BOIA EM LATAO (BOIA PLAST)DN 32MM (1 1/4')</v>
          </cell>
          <cell r="C1195" t="str">
            <v>UN</v>
          </cell>
          <cell r="D1195">
            <v>64.83</v>
          </cell>
          <cell r="E1195">
            <v>0</v>
          </cell>
        </row>
        <row r="1196">
          <cell r="A1196">
            <v>69525</v>
          </cell>
          <cell r="B1196" t="str">
            <v>FILTRO ANAEROBIO ANEIS CONCR. DIAM.1.20M, H=2.00M</v>
          </cell>
          <cell r="C1196" t="str">
            <v>UN</v>
          </cell>
          <cell r="D1196">
            <v>973.03</v>
          </cell>
          <cell r="E1196">
            <v>0</v>
          </cell>
        </row>
        <row r="1197">
          <cell r="A1197">
            <v>69526</v>
          </cell>
          <cell r="B1197" t="str">
            <v>FOSSA ANEIS PRE-MOLDADOS DIAM. 2M,H=2M,TAMPA 60CM</v>
          </cell>
          <cell r="C1197" t="str">
            <v>UN</v>
          </cell>
          <cell r="D1197">
            <v>1519.26</v>
          </cell>
          <cell r="E1197">
            <v>0</v>
          </cell>
        </row>
        <row r="1198">
          <cell r="A1198">
            <v>69527</v>
          </cell>
          <cell r="B1198" t="str">
            <v>FILTRO ANAER. ANEIS CONCR.DIAM. 2M,H=2M,TAMPA 60CM</v>
          </cell>
          <cell r="C1198" t="str">
            <v>UN</v>
          </cell>
          <cell r="D1198">
            <v>1755.46</v>
          </cell>
          <cell r="E1198">
            <v>0</v>
          </cell>
        </row>
        <row r="1199">
          <cell r="A1199">
            <v>69542</v>
          </cell>
          <cell r="B1199" t="str">
            <v>LIGACAO FLEXIVEL PARA CAIXA DE DESCARGA</v>
          </cell>
          <cell r="C1199" t="str">
            <v>UN</v>
          </cell>
          <cell r="D1199">
            <v>4.38</v>
          </cell>
          <cell r="E1199">
            <v>0</v>
          </cell>
        </row>
        <row r="1200">
          <cell r="A1200">
            <v>69545</v>
          </cell>
          <cell r="B1200" t="str">
            <v>CAVALETE PARA PADRAO DE ENTRADA D=3/4"</v>
          </cell>
          <cell r="C1200" t="str">
            <v>UN</v>
          </cell>
          <cell r="D1200">
            <v>47.07</v>
          </cell>
          <cell r="E1200">
            <v>0</v>
          </cell>
        </row>
        <row r="1201">
          <cell r="A1201">
            <v>69547</v>
          </cell>
          <cell r="B1201" t="str">
            <v>ENGATE N.3 EM PVC CIPLA OU SIMILAR</v>
          </cell>
          <cell r="C1201" t="str">
            <v>UN</v>
          </cell>
          <cell r="D1201">
            <v>3.32</v>
          </cell>
          <cell r="E1201">
            <v>0</v>
          </cell>
        </row>
        <row r="1202">
          <cell r="A1202">
            <v>69567</v>
          </cell>
          <cell r="B1202" t="str">
            <v>ENGATE DE PVC 1/2"X40MM, LUCONI MARCA DE REF.</v>
          </cell>
          <cell r="C1202" t="str">
            <v>UN</v>
          </cell>
          <cell r="D1202">
            <v>3.32</v>
          </cell>
          <cell r="E1202">
            <v>0</v>
          </cell>
        </row>
        <row r="1203">
          <cell r="A1203">
            <v>69572</v>
          </cell>
          <cell r="B1203" t="str">
            <v>LUBRIFICANTE PARA TUBO DE PVC</v>
          </cell>
          <cell r="C1203" t="str">
            <v>KG</v>
          </cell>
          <cell r="D1203">
            <v>31.16</v>
          </cell>
          <cell r="E1203">
            <v>0</v>
          </cell>
        </row>
        <row r="1204">
          <cell r="A1204">
            <v>69606</v>
          </cell>
          <cell r="B1204" t="str">
            <v>FOSSA ANÉIS CONCR. D=1.20M, H=2.0M C/VISITA 60 CM</v>
          </cell>
          <cell r="C1204" t="str">
            <v>UN</v>
          </cell>
          <cell r="D1204">
            <v>727.5</v>
          </cell>
          <cell r="E1204">
            <v>0</v>
          </cell>
        </row>
        <row r="1205">
          <cell r="A1205">
            <v>69616</v>
          </cell>
          <cell r="B1205" t="str">
            <v>AUTOMATICO DE BOIA 2 FUNCOES 25A</v>
          </cell>
          <cell r="C1205" t="str">
            <v>UN</v>
          </cell>
          <cell r="D1205">
            <v>42.29</v>
          </cell>
          <cell r="E1205">
            <v>0</v>
          </cell>
        </row>
        <row r="1206">
          <cell r="A1206">
            <v>69619</v>
          </cell>
          <cell r="B1206" t="str">
            <v>NIPLE DUPLO EM PVC 1 1/4"</v>
          </cell>
          <cell r="C1206" t="str">
            <v>UN</v>
          </cell>
          <cell r="D1206">
            <v>4.75</v>
          </cell>
          <cell r="E1206">
            <v>0</v>
          </cell>
        </row>
        <row r="1207">
          <cell r="A1207">
            <v>69626</v>
          </cell>
          <cell r="B1207" t="str">
            <v>TAMPA PLASTICA PARA BACIA SIFONADA INFANTIL</v>
          </cell>
          <cell r="C1207" t="str">
            <v>UN</v>
          </cell>
          <cell r="D1207">
            <v>38.9</v>
          </cell>
          <cell r="E1207">
            <v>0</v>
          </cell>
        </row>
        <row r="1208">
          <cell r="A1208">
            <v>69681</v>
          </cell>
          <cell r="B1208" t="str">
            <v>ANEL PRÉ-MOLDADO DE CONCRETO Ø 1.50 M H=0.50M</v>
          </cell>
          <cell r="C1208" t="str">
            <v>UN</v>
          </cell>
          <cell r="D1208">
            <v>206.25</v>
          </cell>
          <cell r="E1208">
            <v>0</v>
          </cell>
        </row>
        <row r="1209">
          <cell r="A1209">
            <v>69682</v>
          </cell>
          <cell r="B1209" t="str">
            <v>TAMPA PRE-MOLDADA DIAMETRO 1.5M</v>
          </cell>
          <cell r="C1209" t="str">
            <v>UN</v>
          </cell>
          <cell r="D1209">
            <v>213.74</v>
          </cell>
          <cell r="E1209">
            <v>0</v>
          </cell>
        </row>
        <row r="1210">
          <cell r="A1210">
            <v>69753</v>
          </cell>
          <cell r="B1210" t="str">
            <v>REPARO DE VÁLVULA DE DESCARGA</v>
          </cell>
          <cell r="C1210" t="str">
            <v>UN</v>
          </cell>
          <cell r="D1210">
            <v>27.77</v>
          </cell>
          <cell r="E1210">
            <v>0</v>
          </cell>
        </row>
        <row r="1211">
          <cell r="A1211">
            <v>70114</v>
          </cell>
          <cell r="B1211" t="str">
            <v>REMOCAO DE ENTULHO DE OBRA (SERVIÇO TERCEIRIZADO)</v>
          </cell>
          <cell r="C1211" t="str">
            <v>M3</v>
          </cell>
          <cell r="D1211">
            <v>35.24</v>
          </cell>
          <cell r="E1211">
            <v>0</v>
          </cell>
        </row>
        <row r="1212">
          <cell r="A1212">
            <v>70276</v>
          </cell>
          <cell r="B1212" t="str">
            <v>BARRA CHATA DE FERRO 1/4" X 1.1/4"</v>
          </cell>
          <cell r="C1212" t="str">
            <v>M</v>
          </cell>
          <cell r="D1212">
            <v>6.05</v>
          </cell>
          <cell r="E1212">
            <v>0</v>
          </cell>
        </row>
        <row r="1213">
          <cell r="A1213">
            <v>70328</v>
          </cell>
          <cell r="B1213" t="str">
            <v>TUBO ACO GALV MEDIO 2" NBR-5580M (DIN 2440)</v>
          </cell>
          <cell r="C1213" t="str">
            <v>M</v>
          </cell>
          <cell r="D1213">
            <v>33.26</v>
          </cell>
          <cell r="E1213">
            <v>0</v>
          </cell>
        </row>
        <row r="1214">
          <cell r="A1214">
            <v>70385</v>
          </cell>
          <cell r="B1214" t="str">
            <v>REFEIÇÃO INDUSTRIAL (MARMITEX)</v>
          </cell>
          <cell r="C1214" t="str">
            <v>UN</v>
          </cell>
          <cell r="D1214">
            <v>9.6999999999999993</v>
          </cell>
          <cell r="E1214">
            <v>0</v>
          </cell>
        </row>
        <row r="1215">
          <cell r="A1215">
            <v>70659</v>
          </cell>
          <cell r="B1215" t="str">
            <v>GUARDA CORPO EM TUBO FG DIAN=3" E 2"</v>
          </cell>
          <cell r="C1215" t="str">
            <v>M</v>
          </cell>
          <cell r="D1215">
            <v>126.57</v>
          </cell>
          <cell r="E1215">
            <v>0</v>
          </cell>
        </row>
        <row r="1216">
          <cell r="A1216">
            <v>70660</v>
          </cell>
          <cell r="B1216" t="str">
            <v>CORRIMAO EM TUBO FG,DIAM 3",COM CHUMB.A CADA 1.5 M</v>
          </cell>
          <cell r="C1216" t="str">
            <v>M</v>
          </cell>
          <cell r="D1216">
            <v>91.57</v>
          </cell>
          <cell r="E1216">
            <v>0</v>
          </cell>
        </row>
        <row r="1217">
          <cell r="A1217">
            <v>70661</v>
          </cell>
          <cell r="B1217" t="str">
            <v>PLACA PARA INAUGURACAO EM ALUMINIO FUNDIDO 30X50CM</v>
          </cell>
          <cell r="C1217" t="str">
            <v>UN</v>
          </cell>
          <cell r="D1217">
            <v>394.47</v>
          </cell>
          <cell r="E1217">
            <v>0</v>
          </cell>
        </row>
        <row r="1218">
          <cell r="A1218">
            <v>70671</v>
          </cell>
          <cell r="B1218" t="str">
            <v>CONJ. C/ 3 MASTROS EM FERRO GALV. (PREÇO COMPOSTO)</v>
          </cell>
          <cell r="C1218" t="str">
            <v>CJ</v>
          </cell>
          <cell r="D1218">
            <v>3723.24</v>
          </cell>
          <cell r="E1218">
            <v>0</v>
          </cell>
        </row>
        <row r="1219">
          <cell r="A1219">
            <v>70674</v>
          </cell>
          <cell r="B1219" t="str">
            <v>ALCAPAO DE MADEIRA DE LEI 60X60CM</v>
          </cell>
          <cell r="C1219" t="str">
            <v>UN</v>
          </cell>
          <cell r="D1219">
            <v>220.03</v>
          </cell>
          <cell r="E1219">
            <v>0</v>
          </cell>
        </row>
        <row r="1220">
          <cell r="A1220">
            <v>71711</v>
          </cell>
          <cell r="B1220" t="str">
            <v>REDE EM CORDA DE NYLON P/PROTECAO QUADRA ESPORTES</v>
          </cell>
          <cell r="C1220" t="str">
            <v>M2</v>
          </cell>
          <cell r="D1220">
            <v>5.38</v>
          </cell>
          <cell r="E1220">
            <v>0</v>
          </cell>
        </row>
        <row r="1221">
          <cell r="A1221">
            <v>71894</v>
          </cell>
          <cell r="B1221" t="str">
            <v>TAMPA DE FERRO FUNDIDO 40X40 C/ INSCRIÇÃO</v>
          </cell>
          <cell r="C1221" t="str">
            <v>UN</v>
          </cell>
          <cell r="D1221">
            <v>112.42</v>
          </cell>
          <cell r="E1221">
            <v>0</v>
          </cell>
        </row>
        <row r="1222">
          <cell r="A1222">
            <v>71911</v>
          </cell>
          <cell r="B1222" t="str">
            <v>MOLDE P/ SOLDA EXOTERMICA TIPO HCL 5/8" 50-5</v>
          </cell>
          <cell r="C1222" t="str">
            <v>PÇ</v>
          </cell>
          <cell r="D1222">
            <v>227.24</v>
          </cell>
          <cell r="E1222">
            <v>0</v>
          </cell>
        </row>
        <row r="1223">
          <cell r="A1223">
            <v>72455</v>
          </cell>
          <cell r="B1223" t="str">
            <v>FITA PERF NIQUELADA P/ EQUALIZ ROLO 3M 20X0.8MM 7F</v>
          </cell>
          <cell r="C1223" t="str">
            <v>UN</v>
          </cell>
          <cell r="D1223">
            <v>25.09</v>
          </cell>
          <cell r="E1223">
            <v>0</v>
          </cell>
        </row>
        <row r="1224">
          <cell r="A1224">
            <v>72708</v>
          </cell>
          <cell r="B1224" t="str">
            <v>PO EXOTERMICO IGNICAO C/ PALITO CARTUCHO 115</v>
          </cell>
          <cell r="C1224" t="str">
            <v>UN</v>
          </cell>
          <cell r="D1224">
            <v>15.8</v>
          </cell>
          <cell r="E1224">
            <v>0</v>
          </cell>
        </row>
        <row r="1225">
          <cell r="A1225">
            <v>78226</v>
          </cell>
          <cell r="B1225" t="str">
            <v>SUPORTE "Y" WALSYWA P/ FIXACAO DE ELETRODUTOS TETO</v>
          </cell>
          <cell r="C1225" t="str">
            <v>UN</v>
          </cell>
          <cell r="D1225">
            <v>2.63</v>
          </cell>
          <cell r="E1225">
            <v>0</v>
          </cell>
        </row>
        <row r="1226">
          <cell r="A1226">
            <v>78735</v>
          </cell>
          <cell r="B1226" t="str">
            <v>TIJOLO ESMERIL 76,2X76,2X50,8 MM</v>
          </cell>
          <cell r="C1226" t="str">
            <v>UN</v>
          </cell>
          <cell r="D1226">
            <v>18.760000000000002</v>
          </cell>
          <cell r="E1226">
            <v>0</v>
          </cell>
        </row>
        <row r="1227">
          <cell r="A1227">
            <v>79286</v>
          </cell>
          <cell r="B1227" t="str">
            <v>COIFA ACO INOX 304 CH 22</v>
          </cell>
          <cell r="C1227" t="str">
            <v>UN</v>
          </cell>
          <cell r="D1227">
            <v>4248.8999999999996</v>
          </cell>
          <cell r="E1227">
            <v>0</v>
          </cell>
        </row>
        <row r="1228">
          <cell r="A1228">
            <v>80124</v>
          </cell>
          <cell r="B1228" t="str">
            <v>RETROESCAVADEIRA MASSEY FERGUSON MF-86HF (E011)</v>
          </cell>
          <cell r="C1228" t="str">
            <v>H</v>
          </cell>
          <cell r="D1228">
            <v>74.459999999999994</v>
          </cell>
          <cell r="E1228">
            <v>13.47</v>
          </cell>
        </row>
        <row r="1229">
          <cell r="A1229">
            <v>80125</v>
          </cell>
          <cell r="B1229" t="str">
            <v>BETONEIRA 320 L (E301)</v>
          </cell>
          <cell r="C1229" t="str">
            <v>H</v>
          </cell>
          <cell r="D1229">
            <v>16.62</v>
          </cell>
          <cell r="E1229">
            <v>13.47</v>
          </cell>
        </row>
        <row r="1230">
          <cell r="A1230">
            <v>80138</v>
          </cell>
          <cell r="B1230" t="str">
            <v>PERFURATRIZ MANUAL PNEUMATICA (E204)</v>
          </cell>
          <cell r="C1230" t="str">
            <v>H</v>
          </cell>
          <cell r="D1230">
            <v>14.69</v>
          </cell>
          <cell r="E1230">
            <v>13.47</v>
          </cell>
        </row>
        <row r="1231">
          <cell r="A1231">
            <v>80144</v>
          </cell>
          <cell r="B1231" t="str">
            <v>VIBRADOR DE IMERSAO ELETRICO 2HP (E306)</v>
          </cell>
          <cell r="C1231" t="str">
            <v>H</v>
          </cell>
          <cell r="D1231">
            <v>14.66</v>
          </cell>
          <cell r="E1231">
            <v>13.47</v>
          </cell>
        </row>
        <row r="1232">
          <cell r="A1232">
            <v>80170</v>
          </cell>
          <cell r="B1232" t="str">
            <v>CAMINHAO CARR MBENZ L1620/51 C/GUIND. 6T X M(E434)</v>
          </cell>
          <cell r="C1232" t="str">
            <v>H</v>
          </cell>
          <cell r="D1232">
            <v>94.12</v>
          </cell>
          <cell r="E1232">
            <v>9.6300000000000008</v>
          </cell>
        </row>
        <row r="1233">
          <cell r="A1233">
            <v>80178</v>
          </cell>
          <cell r="B1233" t="str">
            <v>CAMINHAO TANQUE MB L1620/51 6.000 L (1.0) E406</v>
          </cell>
          <cell r="C1233" t="str">
            <v>H</v>
          </cell>
          <cell r="D1233">
            <v>95.42</v>
          </cell>
          <cell r="E1233">
            <v>9.6300000000000008</v>
          </cell>
        </row>
        <row r="1234">
          <cell r="A1234">
            <v>80183</v>
          </cell>
          <cell r="B1234" t="str">
            <v>COMPRESSOR AR ATLAS COPCO XA 90PD 180CPM(1.0) E208</v>
          </cell>
          <cell r="C1234" t="str">
            <v>H</v>
          </cell>
          <cell r="D1234">
            <v>59.88</v>
          </cell>
          <cell r="E1234">
            <v>13.47</v>
          </cell>
        </row>
        <row r="1235">
          <cell r="A1235">
            <v>80191</v>
          </cell>
          <cell r="B1235" t="str">
            <v>MARTELETE ATLAS COPCO RH658 6L PERFURAT MAN (E204)</v>
          </cell>
          <cell r="C1235" t="str">
            <v>H</v>
          </cell>
          <cell r="D1235">
            <v>9.36</v>
          </cell>
          <cell r="E1235">
            <v>8.74</v>
          </cell>
        </row>
        <row r="1236">
          <cell r="A1236">
            <v>80201</v>
          </cell>
          <cell r="B1236" t="str">
            <v>TEODOLITO C/ PRECISAO +/- 6 SEGUNDOS (SINAPI 7247)</v>
          </cell>
          <cell r="C1236" t="str">
            <v>H</v>
          </cell>
          <cell r="D1236">
            <v>1.97</v>
          </cell>
          <cell r="E1236">
            <v>0</v>
          </cell>
        </row>
        <row r="1237">
          <cell r="A1237">
            <v>80202</v>
          </cell>
          <cell r="B1237" t="str">
            <v>NIVEL OTICO C/ PRECISAO +/- 0,7MM (SINAPI 7252)</v>
          </cell>
          <cell r="C1237" t="str">
            <v>H</v>
          </cell>
          <cell r="D1237">
            <v>1.1299999999999999</v>
          </cell>
          <cell r="E1237">
            <v>0</v>
          </cell>
        </row>
        <row r="1238">
          <cell r="A1238">
            <v>80276</v>
          </cell>
          <cell r="B1238" t="str">
            <v>KOMBI STANDER A GASOLINA (PREÇO DE AQUISICAO)</v>
          </cell>
          <cell r="C1238" t="str">
            <v>UN</v>
          </cell>
          <cell r="D1238">
            <v>46440.69</v>
          </cell>
          <cell r="E1238">
            <v>0</v>
          </cell>
        </row>
        <row r="1239">
          <cell r="A1239">
            <v>80282</v>
          </cell>
          <cell r="B1239" t="str">
            <v>GOL 1.0 (G6) 2 PORTAS BASICO GASOLINA (PRECO AQUIS</v>
          </cell>
          <cell r="C1239" t="str">
            <v>UN</v>
          </cell>
          <cell r="D1239">
            <v>28094.11</v>
          </cell>
          <cell r="E1239">
            <v>0</v>
          </cell>
        </row>
        <row r="1240">
          <cell r="A1240">
            <v>86027</v>
          </cell>
          <cell r="B1240" t="str">
            <v>CARREG.FRONTAL PNEUS POT.140-170HP-TIPO(966)(E009)</v>
          </cell>
          <cell r="C1240" t="str">
            <v>H</v>
          </cell>
          <cell r="D1240">
            <v>113.98</v>
          </cell>
          <cell r="E1240">
            <v>13.47</v>
          </cell>
        </row>
        <row r="1241">
          <cell r="A1241">
            <v>86030</v>
          </cell>
          <cell r="B1241" t="str">
            <v>CARREG. DE PNEUS CASE W-20 1,33M3 (1.0) (E016)</v>
          </cell>
          <cell r="C1241" t="str">
            <v>H</v>
          </cell>
          <cell r="D1241">
            <v>115.36</v>
          </cell>
          <cell r="E1241">
            <v>13.47</v>
          </cell>
        </row>
        <row r="1242">
          <cell r="A1242">
            <v>86049</v>
          </cell>
          <cell r="B1242" t="str">
            <v>CAMINHAO BASC M BENZ LK1620 6 M3 (10,5T) - (E403)</v>
          </cell>
          <cell r="C1242" t="str">
            <v>H</v>
          </cell>
          <cell r="D1242">
            <v>112.55</v>
          </cell>
          <cell r="E1242">
            <v>9.6300000000000008</v>
          </cell>
        </row>
        <row r="1243">
          <cell r="A1243">
            <v>86096</v>
          </cell>
          <cell r="B1243" t="str">
            <v>COMPACTADOR MANUAL MOTOR DIESEL POT.5HP (E906)</v>
          </cell>
          <cell r="C1243" t="str">
            <v>H</v>
          </cell>
          <cell r="D1243">
            <v>13.1</v>
          </cell>
          <cell r="E1243">
            <v>8.74</v>
          </cell>
        </row>
        <row r="1244">
          <cell r="A1244">
            <v>130401</v>
          </cell>
          <cell r="B1244" t="str">
            <v>MASTRO SIMPLES FG DE 1 1/2"X3M</v>
          </cell>
          <cell r="C1244" t="str">
            <v>UN</v>
          </cell>
          <cell r="D1244">
            <v>86.92</v>
          </cell>
          <cell r="E1244">
            <v>0</v>
          </cell>
        </row>
        <row r="1245">
          <cell r="A1245">
            <v>150217</v>
          </cell>
          <cell r="B1245" t="str">
            <v>CERAMICA 32X44CM OVIEDO PURO BIANCO BIANCOGRES</v>
          </cell>
          <cell r="C1245" t="str">
            <v>M2</v>
          </cell>
          <cell r="D1245">
            <v>25.15</v>
          </cell>
          <cell r="E1245">
            <v>0</v>
          </cell>
        </row>
        <row r="1246">
          <cell r="A1246">
            <v>150243</v>
          </cell>
          <cell r="B1246" t="str">
            <v>CERAMICA LISO BRANCO OU AREIA - 33X58CM</v>
          </cell>
          <cell r="C1246" t="str">
            <v>M2</v>
          </cell>
          <cell r="D1246">
            <v>16.809999999999999</v>
          </cell>
          <cell r="E1246">
            <v>0</v>
          </cell>
        </row>
        <row r="1247">
          <cell r="A1247">
            <v>500176</v>
          </cell>
          <cell r="B1247" t="str">
            <v>BROCA S-12-800X40MM</v>
          </cell>
          <cell r="C1247" t="str">
            <v>UN</v>
          </cell>
          <cell r="D1247">
            <v>437.43</v>
          </cell>
          <cell r="E1247">
            <v>0</v>
          </cell>
        </row>
        <row r="1248">
          <cell r="A1248">
            <v>600327</v>
          </cell>
          <cell r="B1248" t="str">
            <v>SOLO BRITA (30% EM PESO)</v>
          </cell>
          <cell r="C1248" t="str">
            <v>M3</v>
          </cell>
          <cell r="D1248">
            <v>47.68</v>
          </cell>
          <cell r="E1248">
            <v>0</v>
          </cell>
        </row>
        <row r="1249">
          <cell r="A1249">
            <v>600364</v>
          </cell>
          <cell r="B1249" t="str">
            <v>TRANSP MANUAL CARR MAO(2DAM) HIST(LS=134,87%)</v>
          </cell>
          <cell r="C1249" t="str">
            <v>M3</v>
          </cell>
          <cell r="D1249">
            <v>20.399999999999999</v>
          </cell>
          <cell r="E1249">
            <v>0</v>
          </cell>
        </row>
        <row r="1250">
          <cell r="A1250">
            <v>800102</v>
          </cell>
          <cell r="B1250" t="str">
            <v>GASOLINA COMUM</v>
          </cell>
          <cell r="C1250" t="str">
            <v>L</v>
          </cell>
          <cell r="D1250">
            <v>3.14</v>
          </cell>
          <cell r="E1250">
            <v>0</v>
          </cell>
        </row>
        <row r="1251">
          <cell r="A1251">
            <v>820101</v>
          </cell>
          <cell r="B1251" t="str">
            <v>CINTO DE SEGURANCA</v>
          </cell>
          <cell r="C1251" t="str">
            <v>UN</v>
          </cell>
          <cell r="D1251">
            <v>38.32</v>
          </cell>
          <cell r="E1251">
            <v>0</v>
          </cell>
        </row>
        <row r="1252">
          <cell r="A1252">
            <v>820104</v>
          </cell>
          <cell r="B1252" t="str">
            <v>UNIFORME DE BRIM (CALCA / CAMISA)</v>
          </cell>
          <cell r="C1252" t="str">
            <v>UN</v>
          </cell>
          <cell r="D1252">
            <v>55.29</v>
          </cell>
          <cell r="E1252">
            <v>0</v>
          </cell>
        </row>
        <row r="1253">
          <cell r="A1253">
            <v>820106</v>
          </cell>
          <cell r="B1253" t="str">
            <v>CAPA DE CHUVA</v>
          </cell>
          <cell r="C1253" t="str">
            <v>UN</v>
          </cell>
          <cell r="D1253">
            <v>13.02</v>
          </cell>
          <cell r="E1253">
            <v>0</v>
          </cell>
        </row>
        <row r="1254">
          <cell r="A1254">
            <v>820113</v>
          </cell>
          <cell r="B1254" t="str">
            <v>VESTE DE SEGURANCA (COLETE REFLETIVO)</v>
          </cell>
          <cell r="C1254" t="str">
            <v>UN</v>
          </cell>
          <cell r="D1254">
            <v>17.559999999999999</v>
          </cell>
          <cell r="E1254">
            <v>0</v>
          </cell>
        </row>
        <row r="1255">
          <cell r="A1255">
            <v>820114</v>
          </cell>
          <cell r="B1255" t="str">
            <v>CAPACETE DE OBRA</v>
          </cell>
          <cell r="C1255" t="str">
            <v>UN</v>
          </cell>
          <cell r="D1255">
            <v>7.67</v>
          </cell>
          <cell r="E1255">
            <v>0</v>
          </cell>
        </row>
        <row r="1256">
          <cell r="A1256">
            <v>820115</v>
          </cell>
          <cell r="B1256" t="str">
            <v>BOTA DE SEGURANÇA</v>
          </cell>
          <cell r="C1256" t="str">
            <v>UN</v>
          </cell>
          <cell r="D1256">
            <v>29.18</v>
          </cell>
          <cell r="E1256">
            <v>0</v>
          </cell>
        </row>
        <row r="1257">
          <cell r="A1257">
            <v>820116</v>
          </cell>
          <cell r="B1257" t="str">
            <v>OCULOS DE PROTECAO</v>
          </cell>
          <cell r="C1257" t="str">
            <v>UN</v>
          </cell>
          <cell r="D1257">
            <v>4.3899999999999997</v>
          </cell>
          <cell r="E1257">
            <v>0</v>
          </cell>
        </row>
        <row r="1258">
          <cell r="A1258">
            <v>820117</v>
          </cell>
          <cell r="B1258" t="str">
            <v>LUVA DE RASPA</v>
          </cell>
          <cell r="C1258" t="str">
            <v>UN</v>
          </cell>
          <cell r="D1258">
            <v>7.66</v>
          </cell>
          <cell r="E1258">
            <v>0</v>
          </cell>
        </row>
        <row r="1259">
          <cell r="A1259">
            <v>820118</v>
          </cell>
          <cell r="B1259" t="str">
            <v>MASCARA DE AR</v>
          </cell>
          <cell r="C1259" t="str">
            <v>UN</v>
          </cell>
          <cell r="D1259">
            <v>1.08</v>
          </cell>
          <cell r="E1259">
            <v>0</v>
          </cell>
        </row>
        <row r="1260">
          <cell r="A1260">
            <v>830101</v>
          </cell>
          <cell r="B1260" t="str">
            <v>PICARETA COM CABO</v>
          </cell>
          <cell r="C1260" t="str">
            <v>UN</v>
          </cell>
          <cell r="D1260">
            <v>26.7</v>
          </cell>
          <cell r="E1260">
            <v>0</v>
          </cell>
        </row>
        <row r="1261">
          <cell r="A1261">
            <v>830102</v>
          </cell>
          <cell r="B1261" t="str">
            <v>PA DE PEDREIRO C/ CABO</v>
          </cell>
          <cell r="C1261" t="str">
            <v>UN</v>
          </cell>
          <cell r="D1261">
            <v>15.48</v>
          </cell>
          <cell r="E1261">
            <v>0</v>
          </cell>
        </row>
        <row r="1262">
          <cell r="A1262">
            <v>830103</v>
          </cell>
          <cell r="B1262" t="str">
            <v>ENXADA COM CABO</v>
          </cell>
          <cell r="C1262" t="str">
            <v>UN</v>
          </cell>
          <cell r="D1262">
            <v>17.66</v>
          </cell>
          <cell r="E1262">
            <v>0</v>
          </cell>
        </row>
        <row r="1263">
          <cell r="A1263">
            <v>830104</v>
          </cell>
          <cell r="B1263" t="str">
            <v>SERROTE DE 26"</v>
          </cell>
          <cell r="C1263" t="str">
            <v>UN</v>
          </cell>
          <cell r="D1263">
            <v>44.52</v>
          </cell>
          <cell r="E1263">
            <v>0</v>
          </cell>
        </row>
        <row r="1264">
          <cell r="A1264">
            <v>830105</v>
          </cell>
          <cell r="B1264" t="str">
            <v>MARTELO 27CM COM CABO</v>
          </cell>
          <cell r="C1264" t="str">
            <v>UN</v>
          </cell>
          <cell r="D1264">
            <v>17.559999999999999</v>
          </cell>
          <cell r="E1264">
            <v>0</v>
          </cell>
        </row>
        <row r="1265">
          <cell r="A1265">
            <v>830106</v>
          </cell>
          <cell r="B1265" t="str">
            <v>NIVEL DE PEDREIRO 12"</v>
          </cell>
          <cell r="C1265" t="str">
            <v>UN</v>
          </cell>
          <cell r="D1265">
            <v>15.95</v>
          </cell>
          <cell r="E1265">
            <v>0</v>
          </cell>
        </row>
        <row r="1266">
          <cell r="A1266">
            <v>830107</v>
          </cell>
          <cell r="B1266" t="str">
            <v>ALICATE UNIVERSAL 8"</v>
          </cell>
          <cell r="C1266" t="str">
            <v>UN</v>
          </cell>
          <cell r="D1266">
            <v>15.98</v>
          </cell>
          <cell r="E1266">
            <v>0</v>
          </cell>
        </row>
        <row r="1267">
          <cell r="A1267">
            <v>830108</v>
          </cell>
          <cell r="B1267" t="str">
            <v>MARRETA 5KG C/ CABO</v>
          </cell>
          <cell r="C1267" t="str">
            <v>UN</v>
          </cell>
          <cell r="D1267">
            <v>56.44</v>
          </cell>
          <cell r="E1267">
            <v>0</v>
          </cell>
        </row>
        <row r="1268">
          <cell r="A1268">
            <v>830109</v>
          </cell>
          <cell r="B1268" t="str">
            <v>CHAVE AJUSTAVEL INGLESA "GRIFO" 10"</v>
          </cell>
          <cell r="C1268" t="str">
            <v>UN</v>
          </cell>
          <cell r="D1268">
            <v>22.51</v>
          </cell>
          <cell r="E1268">
            <v>0</v>
          </cell>
        </row>
        <row r="1269">
          <cell r="A1269">
            <v>830110</v>
          </cell>
          <cell r="B1269" t="str">
            <v>JOGO DE CHAVE DE FENDA</v>
          </cell>
          <cell r="C1269" t="str">
            <v>UN</v>
          </cell>
          <cell r="D1269">
            <v>29.56</v>
          </cell>
          <cell r="E1269">
            <v>0</v>
          </cell>
        </row>
        <row r="1270">
          <cell r="A1270">
            <v>830111</v>
          </cell>
          <cell r="B1270" t="str">
            <v>CAVADEIRA DE BRAÇO</v>
          </cell>
          <cell r="C1270" t="str">
            <v>UN</v>
          </cell>
          <cell r="D1270">
            <v>24.31</v>
          </cell>
          <cell r="E1270">
            <v>0</v>
          </cell>
        </row>
        <row r="1271">
          <cell r="A1271">
            <v>830112</v>
          </cell>
          <cell r="B1271" t="str">
            <v>SERRA TICO TICO</v>
          </cell>
          <cell r="C1271" t="str">
            <v>UN</v>
          </cell>
          <cell r="D1271">
            <v>316.22000000000003</v>
          </cell>
          <cell r="E1271">
            <v>0</v>
          </cell>
        </row>
        <row r="1272">
          <cell r="A1272">
            <v>830113</v>
          </cell>
          <cell r="B1272" t="str">
            <v>SERRA DE DISCO (CIRCULAR)</v>
          </cell>
          <cell r="C1272" t="str">
            <v>UN</v>
          </cell>
          <cell r="D1272">
            <v>425.64</v>
          </cell>
          <cell r="E1272">
            <v>0</v>
          </cell>
        </row>
        <row r="1273">
          <cell r="A1273">
            <v>830114</v>
          </cell>
          <cell r="B1273" t="str">
            <v>CARRINHO DE MAO</v>
          </cell>
          <cell r="C1273" t="str">
            <v>UN</v>
          </cell>
          <cell r="D1273">
            <v>90.19</v>
          </cell>
          <cell r="E1273">
            <v>0</v>
          </cell>
        </row>
        <row r="1274">
          <cell r="A1274">
            <v>900135</v>
          </cell>
          <cell r="B1274" t="str">
            <v>CESTA BASICA</v>
          </cell>
          <cell r="C1274" t="str">
            <v>UN</v>
          </cell>
          <cell r="D1274">
            <v>232.8</v>
          </cell>
          <cell r="E1274">
            <v>0</v>
          </cell>
        </row>
        <row r="1275">
          <cell r="A1275">
            <v>920110</v>
          </cell>
          <cell r="B1275" t="str">
            <v>ESTAGIÁRIO 4 HORAS-UFES (INCL.L SOCIAIS DE 5%)</v>
          </cell>
          <cell r="C1275" t="str">
            <v>MS</v>
          </cell>
          <cell r="D1275">
            <v>896.28</v>
          </cell>
          <cell r="E1275">
            <v>0</v>
          </cell>
        </row>
        <row r="1276">
          <cell r="A1276">
            <v>920112</v>
          </cell>
          <cell r="B1276" t="str">
            <v>TECNICO SEGUNDO GRAU-A-(LS=77,5% SEM DESONERAÇÃO)</v>
          </cell>
          <cell r="C1276" t="str">
            <v>MS</v>
          </cell>
          <cell r="D1276">
            <v>4820.8999999999996</v>
          </cell>
          <cell r="E1276">
            <v>0</v>
          </cell>
        </row>
        <row r="1277">
          <cell r="A1277">
            <v>920113</v>
          </cell>
          <cell r="B1277" t="str">
            <v>ENGENHEIRO SENIOR (LS=77,5% SEM DESONERAÇÃO)</v>
          </cell>
          <cell r="C1277" t="str">
            <v>MS</v>
          </cell>
          <cell r="D1277">
            <v>17433.84</v>
          </cell>
          <cell r="E1277">
            <v>0</v>
          </cell>
        </row>
        <row r="1278">
          <cell r="A1278">
            <v>920115</v>
          </cell>
          <cell r="B1278" t="str">
            <v>DIGITADOR (LS=77,5% SEM DESONERAÇÃO)</v>
          </cell>
          <cell r="C1278" t="str">
            <v>MS</v>
          </cell>
          <cell r="D1278">
            <v>2496.54</v>
          </cell>
          <cell r="E1278">
            <v>0</v>
          </cell>
        </row>
        <row r="1279">
          <cell r="A1279">
            <v>920116</v>
          </cell>
          <cell r="B1279" t="str">
            <v>ENGENHEIRO JUNIOR (LS=77,5% SEM DESONERAÇÃO)</v>
          </cell>
          <cell r="C1279" t="str">
            <v>MS</v>
          </cell>
          <cell r="D1279">
            <v>12210.65</v>
          </cell>
          <cell r="E1279">
            <v>0</v>
          </cell>
        </row>
        <row r="1280">
          <cell r="A1280">
            <v>920117</v>
          </cell>
          <cell r="B1280" t="str">
            <v>TECNICO SEGUNDO GRAU -B-(LS=77,5% SEM DESONERAÇÃO)</v>
          </cell>
          <cell r="C1280" t="str">
            <v>MS</v>
          </cell>
          <cell r="D1280">
            <v>3960.03</v>
          </cell>
          <cell r="E1280">
            <v>0</v>
          </cell>
        </row>
        <row r="1281">
          <cell r="A1281">
            <v>920118</v>
          </cell>
          <cell r="B1281" t="str">
            <v>TECNICO SEGUNDO GRAU-C- (LS=77,5% SEM DESONERAÇÃO)</v>
          </cell>
          <cell r="C1281" t="str">
            <v>MS</v>
          </cell>
          <cell r="D1281">
            <v>3357.41</v>
          </cell>
          <cell r="E1281">
            <v>0</v>
          </cell>
        </row>
        <row r="1282">
          <cell r="A1282">
            <v>920166</v>
          </cell>
          <cell r="B1282" t="str">
            <v>TECNICO SEGUNDO GRAU-A-(LS=51,67% COM DESONERAÇÃO)</v>
          </cell>
          <cell r="C1282" t="str">
            <v>MS</v>
          </cell>
          <cell r="D1282">
            <v>0</v>
          </cell>
          <cell r="E1282">
            <v>0</v>
          </cell>
        </row>
        <row r="1283">
          <cell r="A1283">
            <v>920167</v>
          </cell>
          <cell r="B1283" t="str">
            <v>ENGENHEIRO SENIOR (LS=51,67% COM DESONERAÇÃO)</v>
          </cell>
          <cell r="C1283" t="str">
            <v>MS</v>
          </cell>
          <cell r="D1283">
            <v>0</v>
          </cell>
          <cell r="E1283">
            <v>0</v>
          </cell>
        </row>
        <row r="1284">
          <cell r="A1284">
            <v>920168</v>
          </cell>
          <cell r="B1284" t="str">
            <v>PROGRAMADOR (LS=51,67% COM DESONERAÇÃO)</v>
          </cell>
          <cell r="C1284" t="str">
            <v>MS</v>
          </cell>
          <cell r="D1284">
            <v>0</v>
          </cell>
          <cell r="E1284">
            <v>0</v>
          </cell>
        </row>
        <row r="1285">
          <cell r="A1285">
            <v>920169</v>
          </cell>
          <cell r="B1285" t="str">
            <v>DIGITADOR(LS=51,67% COM DESONERAÇÃO)</v>
          </cell>
          <cell r="C1285" t="str">
            <v>MS</v>
          </cell>
          <cell r="D1285">
            <v>0</v>
          </cell>
          <cell r="E1285">
            <v>0</v>
          </cell>
        </row>
        <row r="1286">
          <cell r="A1286">
            <v>920170</v>
          </cell>
          <cell r="B1286" t="str">
            <v>ENGENHEIRO JUNIOR (LS=51,67% COM DESONERAÇÃO)</v>
          </cell>
          <cell r="C1286" t="str">
            <v>MS</v>
          </cell>
          <cell r="D1286">
            <v>0</v>
          </cell>
          <cell r="E1286">
            <v>0</v>
          </cell>
        </row>
        <row r="1287">
          <cell r="A1287">
            <v>920171</v>
          </cell>
          <cell r="B1287" t="str">
            <v>TECNICO SEGUNDO GRAU-B-(LS=51,67% COM DESONERAÇÃO)</v>
          </cell>
          <cell r="C1287" t="str">
            <v>MS</v>
          </cell>
          <cell r="D1287">
            <v>0</v>
          </cell>
          <cell r="E1287">
            <v>0</v>
          </cell>
        </row>
        <row r="1288">
          <cell r="A1288">
            <v>920172</v>
          </cell>
          <cell r="B1288" t="str">
            <v>TECNICO SEGUNDO GRAU-C-(LS=51,67% COM DESONERAÇÃO)</v>
          </cell>
          <cell r="C1288" t="str">
            <v>MS</v>
          </cell>
          <cell r="D1288">
            <v>0</v>
          </cell>
          <cell r="E1288">
            <v>0</v>
          </cell>
        </row>
        <row r="1289">
          <cell r="A1289">
            <v>920173</v>
          </cell>
          <cell r="B1289" t="str">
            <v>GERENTE DE PROJETO (LS=51,67% COM DESONERAÇÃO)</v>
          </cell>
          <cell r="C1289" t="str">
            <v>MS</v>
          </cell>
          <cell r="D1289">
            <v>0</v>
          </cell>
          <cell r="E1289">
            <v>0</v>
          </cell>
        </row>
        <row r="1290">
          <cell r="A1290">
            <v>920174</v>
          </cell>
          <cell r="B1290" t="str">
            <v>ANALISTA DE SISTEMAS (LS=51,67% COM DESONERAÇÃO)</v>
          </cell>
          <cell r="C1290" t="str">
            <v>MS</v>
          </cell>
          <cell r="D1290">
            <v>0</v>
          </cell>
          <cell r="E1290">
            <v>0</v>
          </cell>
        </row>
        <row r="1291">
          <cell r="A1291">
            <v>920175</v>
          </cell>
          <cell r="B1291" t="str">
            <v>ANALISTA DESENVOLVIMENTO(LS=51,67% C/DESONERAÇÃO)</v>
          </cell>
          <cell r="C1291" t="str">
            <v>MS</v>
          </cell>
          <cell r="D1291">
            <v>0</v>
          </cell>
          <cell r="E1291">
            <v>0</v>
          </cell>
        </row>
        <row r="1292">
          <cell r="A1292">
            <v>920176</v>
          </cell>
          <cell r="B1292" t="str">
            <v>GERENTE BD/SERVID/REDES(LS=51,67% COM DESONERAÇÃO)</v>
          </cell>
          <cell r="C1292" t="str">
            <v>MS</v>
          </cell>
          <cell r="D1292">
            <v>0</v>
          </cell>
          <cell r="E1292">
            <v>0</v>
          </cell>
        </row>
        <row r="1293">
          <cell r="A1293">
            <v>920177</v>
          </cell>
          <cell r="B1293" t="str">
            <v>DESIGNER GRÁFICO (LS=51,67% COM DESONERAÇÃO)</v>
          </cell>
          <cell r="C1293" t="str">
            <v>MS</v>
          </cell>
          <cell r="D1293">
            <v>0</v>
          </cell>
          <cell r="E1293">
            <v>0</v>
          </cell>
        </row>
        <row r="1294">
          <cell r="A1294">
            <v>920178</v>
          </cell>
          <cell r="B1294" t="str">
            <v>ANALISTA SISTEMAS/SUPORTE(LS=51,67% C/DESONERAÇÃO)</v>
          </cell>
          <cell r="C1294" t="str">
            <v>MS</v>
          </cell>
          <cell r="D1294">
            <v>0</v>
          </cell>
          <cell r="E1294">
            <v>0</v>
          </cell>
        </row>
        <row r="1295">
          <cell r="A1295">
            <v>920179</v>
          </cell>
          <cell r="B1295" t="str">
            <v>COORD TECNICO ESPECIALISTA(LS=51,67%C/DESONERAÇÃO)</v>
          </cell>
          <cell r="C1295" t="str">
            <v>MS</v>
          </cell>
          <cell r="D1295">
            <v>0</v>
          </cell>
          <cell r="E1295">
            <v>0</v>
          </cell>
        </row>
        <row r="1296">
          <cell r="A1296">
            <v>920180</v>
          </cell>
          <cell r="B1296" t="str">
            <v>COTADOR (LS=51,67% COM DESONERAÇÃO)</v>
          </cell>
          <cell r="C1296" t="str">
            <v>MS</v>
          </cell>
          <cell r="D1296">
            <v>0</v>
          </cell>
          <cell r="E1296">
            <v>0</v>
          </cell>
        </row>
        <row r="1297">
          <cell r="A1297">
            <v>920181</v>
          </cell>
          <cell r="B1297" t="str">
            <v>TECNICO NIVEL SUPERIOR (LS=51,67% COM DESONERAÇÃO)</v>
          </cell>
          <cell r="C1297" t="str">
            <v>MS</v>
          </cell>
          <cell r="D1297">
            <v>0</v>
          </cell>
          <cell r="E1297">
            <v>0</v>
          </cell>
        </row>
        <row r="1298">
          <cell r="A1298">
            <v>920182</v>
          </cell>
          <cell r="B1298" t="str">
            <v>ENGENHEIRO PLENO (LS=51,67% COM DESONERAÇÃO)</v>
          </cell>
          <cell r="C1298" t="str">
            <v>MS</v>
          </cell>
          <cell r="D1298">
            <v>0</v>
          </cell>
          <cell r="E1298">
            <v>0</v>
          </cell>
        </row>
        <row r="1299">
          <cell r="A1299">
            <v>920183</v>
          </cell>
          <cell r="B1299" t="str">
            <v>ALMOXARIFE (MENSALISTA-LS=51,67% COM DESONERAÇÃO)</v>
          </cell>
          <cell r="C1299" t="str">
            <v>MS</v>
          </cell>
          <cell r="D1299">
            <v>0</v>
          </cell>
          <cell r="E1299">
            <v>0</v>
          </cell>
        </row>
        <row r="1300">
          <cell r="A1300">
            <v>930211</v>
          </cell>
          <cell r="B1300" t="str">
            <v>GRADIL H=1.90M TUBO2" E BARRA CHATA 11/2"X1/4"</v>
          </cell>
          <cell r="C1300" t="str">
            <v>M</v>
          </cell>
          <cell r="D1300">
            <v>341.52</v>
          </cell>
          <cell r="E1300">
            <v>0</v>
          </cell>
        </row>
        <row r="1301">
          <cell r="A1301">
            <v>930212</v>
          </cell>
          <cell r="B1301" t="str">
            <v>GRADIL H=1.90M TUBO 31/2" E BARRA CHATA 2"X1/4"</v>
          </cell>
          <cell r="C1301" t="str">
            <v>M</v>
          </cell>
          <cell r="D1301">
            <v>474.09</v>
          </cell>
          <cell r="E1301">
            <v>0</v>
          </cell>
        </row>
        <row r="1302">
          <cell r="A1302">
            <v>930213</v>
          </cell>
          <cell r="B1302" t="str">
            <v>PORTA MAD. MEXICANA C/VISOR P/ VERNIZ 0.80X2.10M</v>
          </cell>
          <cell r="C1302" t="str">
            <v>UN</v>
          </cell>
          <cell r="D1302">
            <v>595.11</v>
          </cell>
          <cell r="E1302">
            <v>0</v>
          </cell>
        </row>
        <row r="1303">
          <cell r="A1303">
            <v>930214</v>
          </cell>
          <cell r="B1303" t="str">
            <v>PORTA MAD. MEXICANA 2F C/VISOR VERNIZ 1.60X2.10M</v>
          </cell>
          <cell r="C1303" t="str">
            <v>UN</v>
          </cell>
          <cell r="D1303">
            <v>1194.8</v>
          </cell>
          <cell r="E1303">
            <v>0</v>
          </cell>
        </row>
        <row r="1304">
          <cell r="A1304">
            <v>930215</v>
          </cell>
          <cell r="B1304" t="str">
            <v>PORTA MAD. MEXICANA S/VISOR P/ VERNIZ 0.80X2.10M</v>
          </cell>
          <cell r="C1304" t="str">
            <v>UN</v>
          </cell>
          <cell r="D1304">
            <v>544.79999999999995</v>
          </cell>
          <cell r="E1304">
            <v>0</v>
          </cell>
        </row>
        <row r="1305">
          <cell r="A1305">
            <v>930216</v>
          </cell>
          <cell r="B1305" t="str">
            <v>PORTA MAD. MEXICANA S/VISOR P/ VERNIZ 0.70X2.10</v>
          </cell>
          <cell r="C1305" t="str">
            <v>UN</v>
          </cell>
          <cell r="D1305">
            <v>478.13</v>
          </cell>
          <cell r="E1305">
            <v>0</v>
          </cell>
        </row>
        <row r="1306">
          <cell r="A1306">
            <v>930217</v>
          </cell>
          <cell r="B1306" t="str">
            <v>PORTA MAD. MEXICANA S/VISOR P/ VERNIZ 0.60X2.10</v>
          </cell>
          <cell r="C1306" t="str">
            <v>UN</v>
          </cell>
          <cell r="D1306">
            <v>419.78</v>
          </cell>
          <cell r="E1306">
            <v>0</v>
          </cell>
        </row>
        <row r="1307">
          <cell r="A1307">
            <v>930218</v>
          </cell>
          <cell r="B1307" t="str">
            <v>PORTA MAD. MEXICANA C/VISOR P/ VERNIZ 0.60X2.10</v>
          </cell>
          <cell r="C1307" t="str">
            <v>UN</v>
          </cell>
          <cell r="D1307">
            <v>513.72</v>
          </cell>
          <cell r="E1307">
            <v>0</v>
          </cell>
        </row>
        <row r="1308">
          <cell r="A1308">
            <v>930219</v>
          </cell>
          <cell r="B1308" t="str">
            <v>PORTA MAD. MEXICANA C/VISOR P/ VERNIZ 0.70X2.10</v>
          </cell>
          <cell r="C1308" t="str">
            <v>UN</v>
          </cell>
          <cell r="D1308">
            <v>556.16</v>
          </cell>
          <cell r="E1308">
            <v>0</v>
          </cell>
        </row>
        <row r="1309">
          <cell r="A1309">
            <v>930220</v>
          </cell>
          <cell r="B1309" t="str">
            <v>PORTA MAD. MEXICANA C/VISOR P/ VERNIZ 0.90X2.10</v>
          </cell>
          <cell r="C1309" t="str">
            <v>UN</v>
          </cell>
          <cell r="D1309">
            <v>664.3</v>
          </cell>
          <cell r="E1309">
            <v>0</v>
          </cell>
        </row>
        <row r="1310">
          <cell r="A1310">
            <v>930221</v>
          </cell>
          <cell r="B1310" t="str">
            <v>PORTA MAD. MEXICANA S/VISOR P/ VERNIZ 0.90X2.10</v>
          </cell>
          <cell r="C1310" t="str">
            <v>UN</v>
          </cell>
          <cell r="D1310">
            <v>655.04999999999995</v>
          </cell>
          <cell r="E1310">
            <v>0</v>
          </cell>
        </row>
        <row r="1311">
          <cell r="A1311">
            <v>950101</v>
          </cell>
          <cell r="B1311" t="str">
            <v>MAQUINA ELETRICA P/ POLIMENTO PISO - SINAPI 10764</v>
          </cell>
          <cell r="C1311" t="str">
            <v>H</v>
          </cell>
          <cell r="D1311">
            <v>3.6</v>
          </cell>
          <cell r="E1311">
            <v>0</v>
          </cell>
        </row>
        <row r="1312">
          <cell r="A1312">
            <v>950102</v>
          </cell>
          <cell r="B1312" t="str">
            <v>MAQ. CORTAR ASFALTO/CONCRETO CLIPPER - SINAPI 4035</v>
          </cell>
          <cell r="C1312" t="str">
            <v>H</v>
          </cell>
          <cell r="D1312">
            <v>2.62</v>
          </cell>
          <cell r="E1312">
            <v>0</v>
          </cell>
        </row>
        <row r="1313">
          <cell r="A1313">
            <v>950103</v>
          </cell>
          <cell r="B1313" t="str">
            <v>Chapa de aco galvanizado, no 26 (0,50mm)</v>
          </cell>
          <cell r="C1313" t="str">
            <v>Kg</v>
          </cell>
          <cell r="D1313">
            <v>3.4</v>
          </cell>
          <cell r="E1313">
            <v>0</v>
          </cell>
        </row>
        <row r="1314">
          <cell r="A1314">
            <v>950104</v>
          </cell>
          <cell r="B1314" t="str">
            <v>Peca de madeira serrada, secao (7,5cm x 7,5cm / 3" x 3") - grupo II</v>
          </cell>
          <cell r="C1314" t="str">
            <v>m</v>
          </cell>
          <cell r="D1314">
            <v>3.09</v>
          </cell>
          <cell r="E1314">
            <v>0</v>
          </cell>
        </row>
        <row r="1315">
          <cell r="A1315">
            <v>950105</v>
          </cell>
          <cell r="B1315" t="str">
            <v>Prego com cabeca, de (18x30)</v>
          </cell>
          <cell r="C1315" t="str">
            <v>Kg</v>
          </cell>
          <cell r="D1315">
            <v>4.2300000000000004</v>
          </cell>
          <cell r="E1315">
            <v>0</v>
          </cell>
        </row>
        <row r="1316">
          <cell r="A1316">
            <v>950106</v>
          </cell>
          <cell r="B1316" t="str">
            <v>Prego galvanizado, com cabeca, de (17x27), para fixacao de telhas Onduline ou similar</v>
          </cell>
          <cell r="C1316" t="str">
            <v>un</v>
          </cell>
          <cell r="D1316">
            <v>0.28999999999999998</v>
          </cell>
          <cell r="E1316">
            <v>0</v>
          </cell>
        </row>
        <row r="1317">
          <cell r="A1317">
            <v>950107</v>
          </cell>
          <cell r="B1317" t="str">
            <v>Tinta - Esmalte Coralit Acetinado, semi fosco, BR 001, Coral ou similar</v>
          </cell>
          <cell r="C1317" t="str">
            <v>lata</v>
          </cell>
          <cell r="D1317">
            <v>270</v>
          </cell>
          <cell r="E1317">
            <v>0</v>
          </cell>
        </row>
        <row r="1318">
          <cell r="A1318">
            <v>950108</v>
          </cell>
          <cell r="B1318" t="str">
            <v>3% incidente sobre mao de obra direta com Encargos Sociais para cobrir despesas de EPI e ferramentas</v>
          </cell>
          <cell r="C1318" t="str">
            <v>%</v>
          </cell>
          <cell r="D1318">
            <v>0.03</v>
          </cell>
          <cell r="E1318">
            <v>0</v>
          </cell>
        </row>
        <row r="1319">
          <cell r="A1319">
            <v>0</v>
          </cell>
          <cell r="B1319">
            <v>0</v>
          </cell>
          <cell r="C1319">
            <v>0</v>
          </cell>
          <cell r="D1319">
            <v>0</v>
          </cell>
          <cell r="E1319">
            <v>0</v>
          </cell>
        </row>
        <row r="1320">
          <cell r="A1320">
            <v>0</v>
          </cell>
          <cell r="B1320">
            <v>0</v>
          </cell>
          <cell r="C1320">
            <v>0</v>
          </cell>
          <cell r="D1320">
            <v>0</v>
          </cell>
          <cell r="E1320">
            <v>0</v>
          </cell>
        </row>
        <row r="1321">
          <cell r="A1321">
            <v>0</v>
          </cell>
          <cell r="B1321">
            <v>0</v>
          </cell>
          <cell r="C1321">
            <v>0</v>
          </cell>
          <cell r="D1321">
            <v>0</v>
          </cell>
          <cell r="E1321">
            <v>0</v>
          </cell>
        </row>
      </sheetData>
      <sheetData sheetId="3" refreshError="1"/>
      <sheetData sheetId="4" refreshError="1"/>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sheetName val="PLANILHA ORÇAMENTÁRIA"/>
      <sheetName val="COMPOSIÇÃO"/>
      <sheetName val="CRONOGRAMA"/>
      <sheetName val="MEMÓRIA DE CÁLCULO"/>
      <sheetName val="LEIS SOCIAIS"/>
      <sheetName val="BDI"/>
      <sheetName val="Plan6"/>
      <sheetName val="Plan7"/>
      <sheetName val="Plan8"/>
      <sheetName val="Plan9"/>
      <sheetName val="Plan10"/>
    </sheetNames>
    <sheetDataSet>
      <sheetData sheetId="0" refreshError="1"/>
      <sheetData sheetId="1" refreshError="1">
        <row r="22">
          <cell r="B22" t="str">
            <v>1.1</v>
          </cell>
        </row>
        <row r="29">
          <cell r="F29" t="str">
            <v>M2</v>
          </cell>
        </row>
        <row r="65">
          <cell r="E65" t="str">
            <v>ALVENARIA DE VEDAÇÃO - 1o PAVIMENTO</v>
          </cell>
        </row>
        <row r="73">
          <cell r="E73" t="str">
            <v>PORTAS DE MADEIRA - PM</v>
          </cell>
        </row>
        <row r="100">
          <cell r="F100" t="str">
            <v>M2</v>
          </cell>
        </row>
        <row r="105">
          <cell r="F105" t="str">
            <v>M2</v>
          </cell>
        </row>
        <row r="106">
          <cell r="F106" t="str">
            <v>M2</v>
          </cell>
        </row>
        <row r="107">
          <cell r="F107" t="str">
            <v>M2</v>
          </cell>
        </row>
        <row r="113">
          <cell r="E113" t="str">
            <v>PAVIMENTAÇÃO INTERNA</v>
          </cell>
        </row>
        <row r="115">
          <cell r="F115" t="str">
            <v>m²</v>
          </cell>
        </row>
        <row r="116">
          <cell r="F116" t="str">
            <v>M2</v>
          </cell>
        </row>
        <row r="117">
          <cell r="F117" t="str">
            <v>M2</v>
          </cell>
        </row>
        <row r="118">
          <cell r="F118" t="str">
            <v>M2</v>
          </cell>
        </row>
        <row r="119">
          <cell r="F119" t="str">
            <v>m</v>
          </cell>
        </row>
        <row r="120">
          <cell r="F120" t="str">
            <v>M</v>
          </cell>
        </row>
        <row r="121">
          <cell r="F121" t="str">
            <v>M2</v>
          </cell>
        </row>
        <row r="132">
          <cell r="F132" t="str">
            <v>M2</v>
          </cell>
        </row>
        <row r="134">
          <cell r="F134" t="str">
            <v>M2</v>
          </cell>
        </row>
        <row r="227">
          <cell r="E227" t="str">
            <v>BANCADAS</v>
          </cell>
        </row>
        <row r="228">
          <cell r="F228" t="str">
            <v>M2</v>
          </cell>
        </row>
        <row r="229">
          <cell r="E229" t="str">
            <v>LOUÇAS</v>
          </cell>
        </row>
        <row r="230">
          <cell r="F230" t="str">
            <v>UN</v>
          </cell>
        </row>
        <row r="231">
          <cell r="F231" t="str">
            <v>UN</v>
          </cell>
        </row>
        <row r="232">
          <cell r="F232" t="str">
            <v>UN</v>
          </cell>
        </row>
        <row r="233">
          <cell r="F233" t="str">
            <v>UN</v>
          </cell>
        </row>
        <row r="234">
          <cell r="F234" t="str">
            <v>UN</v>
          </cell>
        </row>
        <row r="235">
          <cell r="F235" t="str">
            <v>UN</v>
          </cell>
        </row>
        <row r="236">
          <cell r="F236" t="str">
            <v>UN</v>
          </cell>
        </row>
        <row r="237">
          <cell r="E237" t="str">
            <v>METAIS</v>
          </cell>
        </row>
        <row r="239">
          <cell r="F239" t="str">
            <v>UN</v>
          </cell>
        </row>
        <row r="240">
          <cell r="F240" t="str">
            <v>UN</v>
          </cell>
        </row>
        <row r="242">
          <cell r="F242" t="str">
            <v>UN</v>
          </cell>
        </row>
        <row r="243">
          <cell r="F243" t="str">
            <v>UN</v>
          </cell>
        </row>
        <row r="244">
          <cell r="E244" t="str">
            <v>ACESSÓRIOS</v>
          </cell>
        </row>
        <row r="245">
          <cell r="F245" t="str">
            <v>UN</v>
          </cell>
        </row>
        <row r="246">
          <cell r="F246" t="str">
            <v>UN</v>
          </cell>
        </row>
        <row r="247">
          <cell r="F247" t="str">
            <v>UN</v>
          </cell>
        </row>
        <row r="335">
          <cell r="F335" t="str">
            <v>un</v>
          </cell>
        </row>
        <row r="350">
          <cell r="F350" t="str">
            <v>M2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openxmlformats.org/officeDocument/2006/relationships/image" Target="../media/image1.emf"/><Relationship Id="rId4" Type="http://schemas.openxmlformats.org/officeDocument/2006/relationships/oleObject" Target="../embeddings/oleObject13.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openxmlformats.org/officeDocument/2006/relationships/image" Target="../media/image1.emf"/><Relationship Id="rId4" Type="http://schemas.openxmlformats.org/officeDocument/2006/relationships/oleObject" Target="../embeddings/oleObject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oleObject" Target="../embeddings/oleObject4.bin"/><Relationship Id="rId5" Type="http://schemas.openxmlformats.org/officeDocument/2006/relationships/image" Target="../media/image1.emf"/><Relationship Id="rId4" Type="http://schemas.openxmlformats.org/officeDocument/2006/relationships/oleObject" Target="../embeddings/oleObject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image" Target="../media/image1.emf"/><Relationship Id="rId4" Type="http://schemas.openxmlformats.org/officeDocument/2006/relationships/oleObject" Target="../embeddings/oleObject5.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oleObject" Target="../embeddings/oleObject6.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oleObject" Target="../embeddings/oleObject8.bin"/><Relationship Id="rId5" Type="http://schemas.openxmlformats.org/officeDocument/2006/relationships/image" Target="../media/image1.emf"/><Relationship Id="rId4" Type="http://schemas.openxmlformats.org/officeDocument/2006/relationships/oleObject" Target="../embeddings/oleObject7.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oleObject" Target="../embeddings/oleObject10.bin"/><Relationship Id="rId5" Type="http://schemas.openxmlformats.org/officeDocument/2006/relationships/image" Target="../media/image1.emf"/><Relationship Id="rId4" Type="http://schemas.openxmlformats.org/officeDocument/2006/relationships/oleObject" Target="../embeddings/oleObject9.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image" Target="../media/image1.emf"/><Relationship Id="rId4" Type="http://schemas.openxmlformats.org/officeDocument/2006/relationships/oleObject" Target="../embeddings/oleObject11.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image" Target="../media/image1.emf"/><Relationship Id="rId4" Type="http://schemas.openxmlformats.org/officeDocument/2006/relationships/oleObject" Target="../embeddings/oleObject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outlinePr summaryBelow="0"/>
  </sheetPr>
  <dimension ref="B1:L485"/>
  <sheetViews>
    <sheetView view="pageBreakPreview" zoomScaleNormal="100" zoomScaleSheetLayoutView="100" workbookViewId="0">
      <selection activeCell="D19" sqref="D19"/>
    </sheetView>
  </sheetViews>
  <sheetFormatPr defaultRowHeight="12.75"/>
  <cols>
    <col min="1" max="1" width="3.28515625" style="78" customWidth="1"/>
    <col min="2" max="2" width="9.28515625" style="78" customWidth="1"/>
    <col min="3" max="3" width="16.28515625" style="78" customWidth="1"/>
    <col min="4" max="4" width="59.28515625" style="78" customWidth="1"/>
    <col min="5" max="5" width="11.5703125" style="78" customWidth="1"/>
    <col min="6" max="6" width="9.28515625" style="78" customWidth="1"/>
    <col min="7" max="7" width="10.7109375" style="78" customWidth="1"/>
    <col min="8" max="8" width="12.42578125" style="78" customWidth="1"/>
    <col min="9" max="9" width="17" style="78" customWidth="1"/>
    <col min="10" max="10" width="16.42578125" style="78" customWidth="1"/>
    <col min="11" max="16384" width="9.140625" style="78"/>
  </cols>
  <sheetData>
    <row r="1" spans="2:10" ht="13.5" thickBot="1">
      <c r="B1" s="10"/>
      <c r="C1" s="10"/>
      <c r="D1" s="10"/>
      <c r="E1" s="10"/>
      <c r="F1" s="10"/>
      <c r="G1" s="10"/>
      <c r="H1" s="10"/>
      <c r="I1" s="10"/>
      <c r="J1" s="10"/>
    </row>
    <row r="2" spans="2:10">
      <c r="B2" s="603" t="s">
        <v>0</v>
      </c>
      <c r="C2" s="604"/>
      <c r="D2" s="604"/>
      <c r="E2" s="604"/>
      <c r="F2" s="604"/>
      <c r="G2" s="604"/>
      <c r="H2" s="604"/>
      <c r="I2" s="604"/>
      <c r="J2" s="605"/>
    </row>
    <row r="3" spans="2:10">
      <c r="B3" s="606"/>
      <c r="C3" s="607"/>
      <c r="D3" s="607"/>
      <c r="E3" s="607"/>
      <c r="F3" s="607"/>
      <c r="G3" s="607"/>
      <c r="H3" s="607"/>
      <c r="I3" s="607"/>
      <c r="J3" s="608"/>
    </row>
    <row r="4" spans="2:10">
      <c r="B4" s="606"/>
      <c r="C4" s="607"/>
      <c r="D4" s="607"/>
      <c r="E4" s="607"/>
      <c r="F4" s="607"/>
      <c r="G4" s="607"/>
      <c r="H4" s="607"/>
      <c r="I4" s="607"/>
      <c r="J4" s="608"/>
    </row>
    <row r="5" spans="2:10">
      <c r="B5" s="606"/>
      <c r="C5" s="607"/>
      <c r="D5" s="607"/>
      <c r="E5" s="607"/>
      <c r="F5" s="607"/>
      <c r="G5" s="607"/>
      <c r="H5" s="607"/>
      <c r="I5" s="607"/>
      <c r="J5" s="608"/>
    </row>
    <row r="6" spans="2:10">
      <c r="B6" s="606"/>
      <c r="C6" s="607"/>
      <c r="D6" s="607"/>
      <c r="E6" s="607"/>
      <c r="F6" s="607"/>
      <c r="G6" s="607"/>
      <c r="H6" s="607"/>
      <c r="I6" s="607"/>
      <c r="J6" s="608"/>
    </row>
    <row r="7" spans="2:10" ht="15" customHeight="1">
      <c r="B7" s="606"/>
      <c r="C7" s="607"/>
      <c r="D7" s="607"/>
      <c r="E7" s="607"/>
      <c r="F7" s="607"/>
      <c r="G7" s="607"/>
      <c r="H7" s="607"/>
      <c r="I7" s="607"/>
      <c r="J7" s="608"/>
    </row>
    <row r="8" spans="2:10" ht="13.5" thickBot="1">
      <c r="B8" s="609"/>
      <c r="C8" s="610"/>
      <c r="D8" s="610"/>
      <c r="E8" s="610"/>
      <c r="F8" s="610"/>
      <c r="G8" s="610"/>
      <c r="H8" s="610"/>
      <c r="I8" s="610"/>
      <c r="J8" s="611"/>
    </row>
    <row r="9" spans="2:10" ht="13.5" thickBot="1">
      <c r="B9" s="184"/>
      <c r="C9" s="184"/>
      <c r="D9" s="184"/>
      <c r="E9" s="185"/>
      <c r="F9" s="184"/>
      <c r="G9" s="186"/>
      <c r="H9" s="187"/>
      <c r="I9" s="188"/>
      <c r="J9" s="188"/>
    </row>
    <row r="10" spans="2:10" ht="15" customHeight="1">
      <c r="B10" s="1" t="s">
        <v>1284</v>
      </c>
      <c r="C10" s="189"/>
      <c r="D10" s="189"/>
      <c r="E10" s="2"/>
      <c r="F10" s="3"/>
      <c r="G10" s="190"/>
      <c r="H10" s="191"/>
      <c r="I10" s="192"/>
      <c r="J10" s="193"/>
    </row>
    <row r="11" spans="2:10" ht="15">
      <c r="B11" s="4" t="s">
        <v>1</v>
      </c>
      <c r="C11" s="194"/>
      <c r="D11" s="194"/>
      <c r="E11" s="182"/>
      <c r="F11" s="5"/>
      <c r="G11" s="6"/>
      <c r="H11" s="195"/>
      <c r="I11" s="196"/>
      <c r="J11" s="197"/>
    </row>
    <row r="12" spans="2:10" ht="15.75" thickBot="1">
      <c r="B12" s="7" t="s">
        <v>2</v>
      </c>
      <c r="C12" s="198"/>
      <c r="D12" s="198"/>
      <c r="E12" s="8"/>
      <c r="F12" s="9"/>
      <c r="G12" s="199"/>
      <c r="H12" s="200"/>
      <c r="I12" s="201"/>
      <c r="J12" s="202"/>
    </row>
    <row r="13" spans="2:10" ht="13.5" thickBot="1">
      <c r="B13" s="194"/>
      <c r="C13" s="194"/>
      <c r="D13" s="194"/>
      <c r="E13" s="182"/>
      <c r="F13" s="5"/>
      <c r="G13" s="6"/>
      <c r="H13" s="195"/>
      <c r="I13" s="196"/>
      <c r="J13" s="196"/>
    </row>
    <row r="14" spans="2:10" ht="17.25" customHeight="1" thickBot="1">
      <c r="B14" s="203" t="s">
        <v>3</v>
      </c>
      <c r="C14" s="204"/>
      <c r="D14" s="204"/>
      <c r="E14" s="205"/>
      <c r="F14" s="206" t="s">
        <v>4</v>
      </c>
      <c r="G14" s="207">
        <f>BDI!E42</f>
        <v>0.28220000000000001</v>
      </c>
      <c r="H14" s="347">
        <v>0.14019999999999999</v>
      </c>
      <c r="I14" s="345" t="s">
        <v>5</v>
      </c>
      <c r="J14" s="346"/>
    </row>
    <row r="15" spans="2:10" ht="13.5" thickBot="1">
      <c r="B15" s="184"/>
      <c r="C15" s="184"/>
      <c r="D15" s="184"/>
      <c r="E15" s="185"/>
      <c r="F15" s="184"/>
      <c r="G15" s="186"/>
      <c r="H15" s="187"/>
      <c r="I15" s="188"/>
      <c r="J15" s="188"/>
    </row>
    <row r="16" spans="2:10" ht="13.5" thickBot="1">
      <c r="B16" s="612" t="s">
        <v>6</v>
      </c>
      <c r="C16" s="613"/>
      <c r="D16" s="613"/>
      <c r="E16" s="613"/>
      <c r="F16" s="613"/>
      <c r="G16" s="613"/>
      <c r="H16" s="613"/>
      <c r="I16" s="613"/>
      <c r="J16" s="614"/>
    </row>
    <row r="17" spans="2:10">
      <c r="B17" s="615" t="s">
        <v>1285</v>
      </c>
      <c r="C17" s="615"/>
      <c r="D17" s="615"/>
      <c r="E17" s="615"/>
      <c r="F17" s="615"/>
      <c r="G17" s="615"/>
      <c r="H17" s="615"/>
      <c r="I17" s="615"/>
      <c r="J17" s="615"/>
    </row>
    <row r="18" spans="2:10" ht="13.5" thickBot="1">
      <c r="B18" s="615" t="s">
        <v>8</v>
      </c>
      <c r="C18" s="615"/>
      <c r="D18" s="615"/>
      <c r="E18" s="615"/>
      <c r="F18" s="615"/>
      <c r="G18" s="615"/>
      <c r="H18" s="615"/>
      <c r="I18" s="615"/>
      <c r="J18" s="615"/>
    </row>
    <row r="19" spans="2:10" ht="39" customHeight="1" thickBot="1">
      <c r="B19" s="208" t="s">
        <v>9</v>
      </c>
      <c r="C19" s="209" t="s">
        <v>10</v>
      </c>
      <c r="D19" s="209" t="s">
        <v>11</v>
      </c>
      <c r="E19" s="209" t="s">
        <v>12</v>
      </c>
      <c r="F19" s="209" t="s">
        <v>13</v>
      </c>
      <c r="G19" s="210" t="s">
        <v>14</v>
      </c>
      <c r="H19" s="209" t="s">
        <v>15</v>
      </c>
      <c r="I19" s="210" t="s">
        <v>16</v>
      </c>
      <c r="J19" s="211" t="s">
        <v>17</v>
      </c>
    </row>
    <row r="20" spans="2:10">
      <c r="B20" s="10"/>
      <c r="C20" s="10"/>
      <c r="D20" s="10"/>
      <c r="E20" s="79" t="s">
        <v>18</v>
      </c>
      <c r="F20" s="10"/>
      <c r="G20" s="10"/>
      <c r="H20" s="10"/>
      <c r="I20" s="10"/>
      <c r="J20" s="10"/>
    </row>
    <row r="21" spans="2:10" ht="12.75" customHeight="1">
      <c r="B21" s="549" t="s">
        <v>19</v>
      </c>
      <c r="C21" s="590" t="s">
        <v>1968</v>
      </c>
      <c r="D21" s="591"/>
      <c r="E21" s="550" t="s">
        <v>18</v>
      </c>
      <c r="F21" s="551"/>
      <c r="G21" s="551"/>
      <c r="H21" s="552"/>
      <c r="I21" s="553"/>
      <c r="J21" s="554"/>
    </row>
    <row r="22" spans="2:10" ht="12.75" customHeight="1">
      <c r="B22" s="398" t="s">
        <v>535</v>
      </c>
      <c r="C22" s="616" t="s">
        <v>20</v>
      </c>
      <c r="D22" s="617"/>
      <c r="E22" s="97" t="s">
        <v>18</v>
      </c>
      <c r="F22" s="98"/>
      <c r="G22" s="98"/>
      <c r="H22" s="162"/>
      <c r="I22" s="99"/>
      <c r="J22" s="88">
        <f>SUM(J23:J23)</f>
        <v>87052</v>
      </c>
    </row>
    <row r="23" spans="2:10">
      <c r="B23" s="397" t="s">
        <v>1286</v>
      </c>
      <c r="C23" s="92" t="s">
        <v>996</v>
      </c>
      <c r="D23" s="91" t="s">
        <v>22</v>
      </c>
      <c r="E23" s="100" t="s">
        <v>21</v>
      </c>
      <c r="F23" s="100" t="s">
        <v>23</v>
      </c>
      <c r="G23" s="93">
        <v>100</v>
      </c>
      <c r="H23" s="93">
        <f>'COMPOSICOES AMPLIAÇÃO'!G65/100</f>
        <v>678.92340000000002</v>
      </c>
      <c r="I23" s="219">
        <f>ROUND($H23*(1+$G$14),2)</f>
        <v>870.52</v>
      </c>
      <c r="J23" s="93">
        <f>ROUND(G23*I23,2)</f>
        <v>87052</v>
      </c>
    </row>
    <row r="24" spans="2:10" ht="12.75" customHeight="1">
      <c r="B24" s="86" t="s">
        <v>538</v>
      </c>
      <c r="C24" s="620" t="s">
        <v>24</v>
      </c>
      <c r="D24" s="617"/>
      <c r="E24" s="80" t="s">
        <v>18</v>
      </c>
      <c r="F24" s="89"/>
      <c r="G24" s="89"/>
      <c r="H24" s="181"/>
      <c r="I24" s="90"/>
      <c r="J24" s="88">
        <f>SUM(J25:J30)</f>
        <v>13381.779999999999</v>
      </c>
    </row>
    <row r="25" spans="2:10">
      <c r="B25" s="397" t="s">
        <v>1287</v>
      </c>
      <c r="C25" s="100" t="s">
        <v>25</v>
      </c>
      <c r="D25" s="91" t="s">
        <v>26</v>
      </c>
      <c r="E25" s="92" t="s">
        <v>27</v>
      </c>
      <c r="F25" s="92" t="s">
        <v>28</v>
      </c>
      <c r="G25" s="93">
        <f>'MEMORIA DE CALCULO AMPLIAÇÃO'!J25</f>
        <v>6.4</v>
      </c>
      <c r="H25" s="93" t="s">
        <v>29</v>
      </c>
      <c r="I25" s="93">
        <f>ROUND($H25*(1+$G$14),2)</f>
        <v>365.11</v>
      </c>
      <c r="J25" s="93">
        <f>ROUND(G25*I25,2)</f>
        <v>2336.6999999999998</v>
      </c>
    </row>
    <row r="26" spans="2:10">
      <c r="B26" s="397" t="s">
        <v>1288</v>
      </c>
      <c r="C26" s="100" t="s">
        <v>30</v>
      </c>
      <c r="D26" s="91" t="s">
        <v>31</v>
      </c>
      <c r="E26" s="92" t="s">
        <v>27</v>
      </c>
      <c r="F26" s="92" t="s">
        <v>28</v>
      </c>
      <c r="G26" s="93">
        <f>'MEMORIA DE CALCULO AMPLIAÇÃO'!J27</f>
        <v>365.39160000000004</v>
      </c>
      <c r="H26" s="93" t="s">
        <v>32</v>
      </c>
      <c r="I26" s="93">
        <f>ROUND($H26*(1+$G$14),2)</f>
        <v>5.26</v>
      </c>
      <c r="J26" s="93">
        <f>ROUND(G26*I26,2)</f>
        <v>1921.96</v>
      </c>
    </row>
    <row r="27" spans="2:10" ht="51">
      <c r="B27" s="397" t="s">
        <v>1289</v>
      </c>
      <c r="C27" s="92" t="s">
        <v>1027</v>
      </c>
      <c r="D27" s="286" t="s">
        <v>1028</v>
      </c>
      <c r="E27" s="100" t="s">
        <v>21</v>
      </c>
      <c r="F27" s="100" t="s">
        <v>649</v>
      </c>
      <c r="G27" s="219">
        <v>25</v>
      </c>
      <c r="H27" s="219">
        <f>'COMPOSICOES AMPLIAÇÃO'!G120</f>
        <v>33.200000000000003</v>
      </c>
      <c r="I27" s="219">
        <f t="shared" ref="I27:I28" si="0">ROUND($H27*(1+$G$14),2)</f>
        <v>42.57</v>
      </c>
      <c r="J27" s="219">
        <f t="shared" ref="J27:J28" si="1">ROUND(G27*I27,2)</f>
        <v>1064.25</v>
      </c>
    </row>
    <row r="28" spans="2:10" ht="25.5">
      <c r="B28" s="397" t="s">
        <v>1290</v>
      </c>
      <c r="C28" s="92">
        <v>41598</v>
      </c>
      <c r="D28" s="286" t="s">
        <v>896</v>
      </c>
      <c r="E28" s="92" t="s">
        <v>27</v>
      </c>
      <c r="F28" s="92" t="s">
        <v>33</v>
      </c>
      <c r="G28" s="219">
        <v>1</v>
      </c>
      <c r="H28" s="219">
        <v>1185.8800000000001</v>
      </c>
      <c r="I28" s="219">
        <f t="shared" si="0"/>
        <v>1520.54</v>
      </c>
      <c r="J28" s="219">
        <f t="shared" si="1"/>
        <v>1520.54</v>
      </c>
    </row>
    <row r="29" spans="2:10" ht="25.5">
      <c r="B29" s="397" t="s">
        <v>1291</v>
      </c>
      <c r="C29" s="100" t="s">
        <v>34</v>
      </c>
      <c r="D29" s="91" t="s">
        <v>35</v>
      </c>
      <c r="E29" s="92" t="s">
        <v>27</v>
      </c>
      <c r="F29" s="92" t="s">
        <v>28</v>
      </c>
      <c r="G29" s="93">
        <f>'MEMORIA DE CALCULO AMPLIAÇÃO'!J35</f>
        <v>80</v>
      </c>
      <c r="H29" s="93" t="s">
        <v>36</v>
      </c>
      <c r="I29" s="93">
        <f>ROUND($H29*(1+$G$14),2)</f>
        <v>67.94</v>
      </c>
      <c r="J29" s="93">
        <f>ROUND(G29*I29,2)</f>
        <v>5435.2</v>
      </c>
    </row>
    <row r="30" spans="2:10">
      <c r="B30" s="277" t="s">
        <v>1292</v>
      </c>
      <c r="C30" s="100">
        <v>73616</v>
      </c>
      <c r="D30" s="313" t="s">
        <v>905</v>
      </c>
      <c r="E30" s="92" t="s">
        <v>27</v>
      </c>
      <c r="F30" s="100" t="s">
        <v>557</v>
      </c>
      <c r="G30" s="314">
        <v>4.25</v>
      </c>
      <c r="H30" s="314">
        <v>202.43</v>
      </c>
      <c r="I30" s="314">
        <f>ROUND($H30*(1+$G$14),2)</f>
        <v>259.56</v>
      </c>
      <c r="J30" s="314">
        <f>ROUND(G30*I30,2)</f>
        <v>1103.1300000000001</v>
      </c>
    </row>
    <row r="31" spans="2:10" ht="12.75" customHeight="1">
      <c r="B31" s="399" t="s">
        <v>539</v>
      </c>
      <c r="C31" s="620" t="s">
        <v>37</v>
      </c>
      <c r="D31" s="621"/>
      <c r="E31" s="80" t="s">
        <v>18</v>
      </c>
      <c r="F31" s="89"/>
      <c r="G31" s="89"/>
      <c r="H31" s="181"/>
      <c r="I31" s="90"/>
      <c r="J31" s="88">
        <f>J32</f>
        <v>4597.49</v>
      </c>
    </row>
    <row r="32" spans="2:10" ht="12.75" customHeight="1">
      <c r="B32" s="400" t="s">
        <v>1293</v>
      </c>
      <c r="C32" s="618" t="s">
        <v>38</v>
      </c>
      <c r="D32" s="622"/>
      <c r="E32" s="79" t="s">
        <v>18</v>
      </c>
      <c r="F32" s="94"/>
      <c r="G32" s="94"/>
      <c r="H32" s="93"/>
      <c r="I32" s="212"/>
      <c r="J32" s="213">
        <f>SUM(J33:J36)</f>
        <v>4597.49</v>
      </c>
    </row>
    <row r="33" spans="2:10">
      <c r="B33" s="397" t="s">
        <v>1294</v>
      </c>
      <c r="C33" s="92" t="s">
        <v>39</v>
      </c>
      <c r="D33" s="91" t="s">
        <v>40</v>
      </c>
      <c r="E33" s="92" t="s">
        <v>27</v>
      </c>
      <c r="F33" s="92" t="s">
        <v>41</v>
      </c>
      <c r="G33" s="93">
        <f>'MEMORIA DE CALCULO AMPLIAÇÃO'!J44</f>
        <v>39.450000000000003</v>
      </c>
      <c r="H33" s="93" t="s">
        <v>42</v>
      </c>
      <c r="I33" s="93">
        <f>ROUND($H33*(1+$G$14),2)</f>
        <v>69.53</v>
      </c>
      <c r="J33" s="93">
        <f>ROUND(G33*I33,2)</f>
        <v>2742.96</v>
      </c>
    </row>
    <row r="34" spans="2:10">
      <c r="B34" s="277" t="s">
        <v>1295</v>
      </c>
      <c r="C34" s="100" t="s">
        <v>43</v>
      </c>
      <c r="D34" s="91" t="s">
        <v>44</v>
      </c>
      <c r="E34" s="92" t="s">
        <v>27</v>
      </c>
      <c r="F34" s="92" t="s">
        <v>41</v>
      </c>
      <c r="G34" s="93">
        <f>'MEMORIA DE CALCULO AMPLIAÇÃO'!J58</f>
        <v>11.234500000000008</v>
      </c>
      <c r="H34" s="93" t="s">
        <v>45</v>
      </c>
      <c r="I34" s="93">
        <f>ROUND($H34*(1+$G$14),2)</f>
        <v>52.74</v>
      </c>
      <c r="J34" s="93">
        <f>ROUND(G34*I34,2)</f>
        <v>592.51</v>
      </c>
    </row>
    <row r="35" spans="2:10" s="10" customFormat="1" ht="25.5">
      <c r="B35" s="216" t="s">
        <v>1296</v>
      </c>
      <c r="C35" s="92">
        <v>72897</v>
      </c>
      <c r="D35" s="286" t="s">
        <v>903</v>
      </c>
      <c r="E35" s="100" t="s">
        <v>1060</v>
      </c>
      <c r="F35" s="92" t="s">
        <v>41</v>
      </c>
      <c r="G35" s="285">
        <f>'MEMORIA DE CALCULO AMPLIAÇÃO'!J61</f>
        <v>40.579374999999999</v>
      </c>
      <c r="H35" s="219">
        <v>19.29</v>
      </c>
      <c r="I35" s="219">
        <f t="shared" ref="I35:I36" si="2">ROUND($H35*(1+$G$14),2)</f>
        <v>24.73</v>
      </c>
      <c r="J35" s="219">
        <f t="shared" ref="J35:J36" si="3">ROUND(G35*I35,2)</f>
        <v>1003.53</v>
      </c>
    </row>
    <row r="36" spans="2:10" s="10" customFormat="1" ht="25.5">
      <c r="B36" s="277" t="s">
        <v>1297</v>
      </c>
      <c r="C36" s="92">
        <v>72900</v>
      </c>
      <c r="D36" s="286" t="s">
        <v>904</v>
      </c>
      <c r="E36" s="100" t="s">
        <v>1060</v>
      </c>
      <c r="F36" s="92" t="s">
        <v>41</v>
      </c>
      <c r="G36" s="285">
        <f>'MEMORIA DE CALCULO AMPLIAÇÃO'!J64</f>
        <v>40.579374999999999</v>
      </c>
      <c r="H36" s="219">
        <v>4.97</v>
      </c>
      <c r="I36" s="219">
        <f t="shared" si="2"/>
        <v>6.37</v>
      </c>
      <c r="J36" s="219">
        <f t="shared" si="3"/>
        <v>258.49</v>
      </c>
    </row>
    <row r="37" spans="2:10" ht="12.75" customHeight="1">
      <c r="B37" s="398" t="s">
        <v>1298</v>
      </c>
      <c r="C37" s="620" t="s">
        <v>38</v>
      </c>
      <c r="D37" s="621"/>
      <c r="E37" s="80" t="s">
        <v>18</v>
      </c>
      <c r="F37" s="89"/>
      <c r="G37" s="89"/>
      <c r="H37" s="181"/>
      <c r="I37" s="90"/>
      <c r="J37" s="88">
        <f>J38</f>
        <v>26884.270000000004</v>
      </c>
    </row>
    <row r="38" spans="2:10">
      <c r="B38" s="397" t="s">
        <v>1299</v>
      </c>
      <c r="C38" s="618" t="s">
        <v>46</v>
      </c>
      <c r="D38" s="622"/>
      <c r="E38" s="79" t="s">
        <v>18</v>
      </c>
      <c r="F38" s="94"/>
      <c r="G38" s="94"/>
      <c r="H38" s="93"/>
      <c r="I38" s="212"/>
      <c r="J38" s="213">
        <f>SUM(J39:J45)</f>
        <v>26884.270000000004</v>
      </c>
    </row>
    <row r="39" spans="2:10" ht="25.5">
      <c r="B39" s="397" t="s">
        <v>1300</v>
      </c>
      <c r="C39" s="304" t="s">
        <v>47</v>
      </c>
      <c r="D39" s="277" t="s">
        <v>579</v>
      </c>
      <c r="E39" s="92" t="s">
        <v>27</v>
      </c>
      <c r="F39" s="92" t="s">
        <v>28</v>
      </c>
      <c r="G39" s="93">
        <f>'MEMORIA DE CALCULO AMPLIAÇÃO'!J68</f>
        <v>70.109999999999985</v>
      </c>
      <c r="H39" s="93">
        <v>10.37</v>
      </c>
      <c r="I39" s="93">
        <f t="shared" ref="I39:I45" si="4">ROUND($H39*(1+$G$14),2)</f>
        <v>13.3</v>
      </c>
      <c r="J39" s="93">
        <f t="shared" ref="J39:J45" si="5">ROUND(G39*I39,2)</f>
        <v>932.46</v>
      </c>
    </row>
    <row r="40" spans="2:10" ht="25.5">
      <c r="B40" s="91" t="s">
        <v>1301</v>
      </c>
      <c r="C40" s="92">
        <v>5651</v>
      </c>
      <c r="D40" s="277" t="s">
        <v>898</v>
      </c>
      <c r="E40" s="92" t="s">
        <v>27</v>
      </c>
      <c r="F40" s="92" t="s">
        <v>28</v>
      </c>
      <c r="G40" s="93">
        <f>'MEMORIA DE CALCULO AMPLIAÇÃO'!J82</f>
        <v>108.75999999999999</v>
      </c>
      <c r="H40" s="93">
        <v>37.96</v>
      </c>
      <c r="I40" s="93">
        <f t="shared" si="4"/>
        <v>48.67</v>
      </c>
      <c r="J40" s="93">
        <f t="shared" si="5"/>
        <v>5293.35</v>
      </c>
    </row>
    <row r="41" spans="2:10" ht="38.25">
      <c r="B41" s="279" t="s">
        <v>1302</v>
      </c>
      <c r="C41" s="92">
        <v>94966</v>
      </c>
      <c r="D41" s="277" t="s">
        <v>976</v>
      </c>
      <c r="E41" s="100" t="s">
        <v>1060</v>
      </c>
      <c r="F41" s="92" t="s">
        <v>41</v>
      </c>
      <c r="G41" s="285">
        <f>'MEMORIA DE CALCULO AMPLIAÇÃO'!J96</f>
        <v>24.709999999999997</v>
      </c>
      <c r="H41" s="280">
        <v>262.60000000000002</v>
      </c>
      <c r="I41" s="280">
        <f t="shared" si="4"/>
        <v>336.71</v>
      </c>
      <c r="J41" s="280">
        <f t="shared" si="5"/>
        <v>8320.1</v>
      </c>
    </row>
    <row r="42" spans="2:10" ht="25.5">
      <c r="B42" s="279" t="s">
        <v>1303</v>
      </c>
      <c r="C42" s="92" t="s">
        <v>915</v>
      </c>
      <c r="D42" s="286" t="s">
        <v>916</v>
      </c>
      <c r="E42" s="100" t="s">
        <v>1060</v>
      </c>
      <c r="F42" s="92" t="s">
        <v>41</v>
      </c>
      <c r="G42" s="285">
        <f>'MEMORIA DE CALCULO AMPLIAÇÃO'!J110</f>
        <v>24.709999999999997</v>
      </c>
      <c r="H42" s="280">
        <v>92.78</v>
      </c>
      <c r="I42" s="280">
        <f t="shared" si="4"/>
        <v>118.96</v>
      </c>
      <c r="J42" s="280">
        <f t="shared" ref="J42" si="6">ROUND(G42*I42,2)</f>
        <v>2939.5</v>
      </c>
    </row>
    <row r="43" spans="2:10" ht="63.75">
      <c r="B43" s="279" t="s">
        <v>1304</v>
      </c>
      <c r="C43" s="92" t="s">
        <v>48</v>
      </c>
      <c r="D43" s="91" t="s">
        <v>49</v>
      </c>
      <c r="E43" s="92" t="s">
        <v>27</v>
      </c>
      <c r="F43" s="92" t="s">
        <v>50</v>
      </c>
      <c r="G43" s="93">
        <v>453.04</v>
      </c>
      <c r="H43" s="93" t="s">
        <v>51</v>
      </c>
      <c r="I43" s="93">
        <f t="shared" si="4"/>
        <v>10.81</v>
      </c>
      <c r="J43" s="93">
        <f t="shared" si="5"/>
        <v>4897.3599999999997</v>
      </c>
    </row>
    <row r="44" spans="2:10" ht="63.75">
      <c r="B44" s="279" t="s">
        <v>1305</v>
      </c>
      <c r="C44" s="92" t="s">
        <v>52</v>
      </c>
      <c r="D44" s="91" t="s">
        <v>53</v>
      </c>
      <c r="E44" s="92" t="s">
        <v>27</v>
      </c>
      <c r="F44" s="92" t="s">
        <v>50</v>
      </c>
      <c r="G44" s="93">
        <v>107.1</v>
      </c>
      <c r="H44" s="93" t="s">
        <v>54</v>
      </c>
      <c r="I44" s="93">
        <f t="shared" si="4"/>
        <v>8.92</v>
      </c>
      <c r="J44" s="93">
        <f t="shared" si="5"/>
        <v>955.33</v>
      </c>
    </row>
    <row r="45" spans="2:10" ht="63.75">
      <c r="B45" s="279" t="s">
        <v>1306</v>
      </c>
      <c r="C45" s="92" t="s">
        <v>55</v>
      </c>
      <c r="D45" s="91" t="s">
        <v>56</v>
      </c>
      <c r="E45" s="92" t="s">
        <v>27</v>
      </c>
      <c r="F45" s="92" t="s">
        <v>50</v>
      </c>
      <c r="G45" s="93">
        <v>510.24</v>
      </c>
      <c r="H45" s="93" t="s">
        <v>57</v>
      </c>
      <c r="I45" s="93">
        <f t="shared" si="4"/>
        <v>6.95</v>
      </c>
      <c r="J45" s="93">
        <f t="shared" si="5"/>
        <v>3546.17</v>
      </c>
    </row>
    <row r="46" spans="2:10" ht="12.75" customHeight="1">
      <c r="B46" s="398" t="s">
        <v>1307</v>
      </c>
      <c r="C46" s="620" t="s">
        <v>58</v>
      </c>
      <c r="D46" s="621"/>
      <c r="E46" s="81" t="s">
        <v>18</v>
      </c>
      <c r="F46" s="89"/>
      <c r="G46" s="89"/>
      <c r="H46" s="181"/>
      <c r="I46" s="90"/>
      <c r="J46" s="88">
        <f>J47+J49</f>
        <v>682752</v>
      </c>
    </row>
    <row r="47" spans="2:10" ht="12.75" customHeight="1">
      <c r="B47" s="400" t="s">
        <v>1308</v>
      </c>
      <c r="C47" s="618" t="s">
        <v>59</v>
      </c>
      <c r="D47" s="619"/>
      <c r="E47" s="82" t="s">
        <v>18</v>
      </c>
      <c r="F47" s="95"/>
      <c r="G47" s="94"/>
      <c r="H47" s="93"/>
      <c r="I47" s="212"/>
      <c r="J47" s="213">
        <f>SUM(J48:J48)</f>
        <v>646638.25</v>
      </c>
    </row>
    <row r="48" spans="2:10" ht="38.25">
      <c r="B48" s="397" t="s">
        <v>1309</v>
      </c>
      <c r="C48" s="100" t="s">
        <v>1059</v>
      </c>
      <c r="D48" s="286" t="s">
        <v>1068</v>
      </c>
      <c r="E48" s="100" t="s">
        <v>21</v>
      </c>
      <c r="F48" s="92" t="s">
        <v>60</v>
      </c>
      <c r="G48" s="93">
        <v>32675</v>
      </c>
      <c r="H48" s="93">
        <f>'COMPOSICOES AMPLIAÇÃO'!G437</f>
        <v>17.36</v>
      </c>
      <c r="I48" s="93">
        <f>ROUND($H48*(1+$H$14),2)</f>
        <v>19.79</v>
      </c>
      <c r="J48" s="93">
        <f>ROUND(G48*I48,2)</f>
        <v>646638.25</v>
      </c>
    </row>
    <row r="49" spans="2:10" ht="12.75" customHeight="1">
      <c r="B49" s="400" t="s">
        <v>1310</v>
      </c>
      <c r="C49" s="624" t="s">
        <v>61</v>
      </c>
      <c r="D49" s="619"/>
      <c r="E49" s="82" t="s">
        <v>18</v>
      </c>
      <c r="F49" s="95"/>
      <c r="G49" s="94"/>
      <c r="H49" s="93"/>
      <c r="I49" s="93"/>
      <c r="J49" s="213">
        <f>SUM(J50:J51)</f>
        <v>36113.75</v>
      </c>
    </row>
    <row r="50" spans="2:10" ht="51">
      <c r="B50" s="397" t="s">
        <v>1311</v>
      </c>
      <c r="C50" s="100" t="s">
        <v>62</v>
      </c>
      <c r="D50" s="91" t="s">
        <v>63</v>
      </c>
      <c r="E50" s="92" t="s">
        <v>27</v>
      </c>
      <c r="F50" s="92" t="s">
        <v>28</v>
      </c>
      <c r="G50" s="93">
        <f>'MEMORIA DE CALCULO AMPLIAÇÃO'!J154</f>
        <v>402.24280000000005</v>
      </c>
      <c r="H50" s="93" t="s">
        <v>64</v>
      </c>
      <c r="I50" s="93">
        <f>ROUND($H50*(1+$G$14),2)</f>
        <v>78.53</v>
      </c>
      <c r="J50" s="93">
        <f>ROUND(G50*I50,2)</f>
        <v>31588.13</v>
      </c>
    </row>
    <row r="51" spans="2:10" ht="25.5">
      <c r="B51" s="397" t="s">
        <v>1312</v>
      </c>
      <c r="C51" s="100" t="s">
        <v>65</v>
      </c>
      <c r="D51" s="91" t="s">
        <v>66</v>
      </c>
      <c r="E51" s="92" t="s">
        <v>27</v>
      </c>
      <c r="F51" s="92" t="s">
        <v>50</v>
      </c>
      <c r="G51" s="93">
        <f>'MEMORIA DE CALCULO AMPLIAÇÃO'!J159</f>
        <v>625.08531120000009</v>
      </c>
      <c r="H51" s="93" t="s">
        <v>67</v>
      </c>
      <c r="I51" s="93">
        <f>ROUND($H51*(1+$G$14),2)</f>
        <v>7.24</v>
      </c>
      <c r="J51" s="93">
        <f>ROUND(G51*I51,2)</f>
        <v>4525.62</v>
      </c>
    </row>
    <row r="52" spans="2:10" ht="12.75" customHeight="1">
      <c r="B52" s="398" t="s">
        <v>1313</v>
      </c>
      <c r="C52" s="620" t="s">
        <v>68</v>
      </c>
      <c r="D52" s="621"/>
      <c r="E52" s="80" t="s">
        <v>18</v>
      </c>
      <c r="F52" s="89"/>
      <c r="G52" s="89"/>
      <c r="H52" s="181"/>
      <c r="I52" s="90"/>
      <c r="J52" s="88">
        <f>J53</f>
        <v>300060.82</v>
      </c>
    </row>
    <row r="53" spans="2:10" ht="12.75" customHeight="1">
      <c r="B53" s="400" t="s">
        <v>1314</v>
      </c>
      <c r="C53" s="618" t="s">
        <v>69</v>
      </c>
      <c r="D53" s="622"/>
      <c r="E53" s="79" t="s">
        <v>18</v>
      </c>
      <c r="F53" s="94"/>
      <c r="G53" s="94"/>
      <c r="H53" s="93"/>
      <c r="I53" s="212"/>
      <c r="J53" s="213">
        <f>SUM(J54:J55)</f>
        <v>300060.82</v>
      </c>
    </row>
    <row r="54" spans="2:10" ht="51">
      <c r="B54" s="397" t="s">
        <v>1315</v>
      </c>
      <c r="C54" s="100" t="s">
        <v>1048</v>
      </c>
      <c r="D54" s="286" t="s">
        <v>1255</v>
      </c>
      <c r="E54" s="100" t="s">
        <v>21</v>
      </c>
      <c r="F54" s="92" t="s">
        <v>70</v>
      </c>
      <c r="G54" s="93">
        <f>'MEMORIA DE CALCULO AMPLIAÇÃO'!J163</f>
        <v>992.58400000000006</v>
      </c>
      <c r="H54" s="93">
        <f>'COMPOSICOES AMPLIAÇÃO'!G173</f>
        <v>257.66999999999996</v>
      </c>
      <c r="I54" s="93">
        <f>ROUND($H54*(1+$H$14),2)</f>
        <v>293.8</v>
      </c>
      <c r="J54" s="93">
        <f>ROUND(G54*I54,2)</f>
        <v>291621.18</v>
      </c>
    </row>
    <row r="55" spans="2:10" ht="38.25">
      <c r="B55" s="397" t="s">
        <v>1316</v>
      </c>
      <c r="C55" s="92" t="s">
        <v>71</v>
      </c>
      <c r="D55" s="277" t="s">
        <v>1076</v>
      </c>
      <c r="E55" s="92" t="s">
        <v>27</v>
      </c>
      <c r="F55" s="92" t="s">
        <v>28</v>
      </c>
      <c r="G55" s="93">
        <f>'MEMORIA DE CALCULO AMPLIAÇÃO'!J172</f>
        <v>19.721999999999998</v>
      </c>
      <c r="H55" s="93" t="s">
        <v>72</v>
      </c>
      <c r="I55" s="93">
        <f>ROUND($H55*(1+$G$14),2)</f>
        <v>427.93</v>
      </c>
      <c r="J55" s="93">
        <f>ROUND(G55*I55,2)</f>
        <v>8439.64</v>
      </c>
    </row>
    <row r="56" spans="2:10" ht="12.75" customHeight="1">
      <c r="B56" s="398" t="s">
        <v>1317</v>
      </c>
      <c r="C56" s="620" t="s">
        <v>73</v>
      </c>
      <c r="D56" s="621"/>
      <c r="E56" s="81" t="s">
        <v>18</v>
      </c>
      <c r="F56" s="89"/>
      <c r="G56" s="89"/>
      <c r="H56" s="181"/>
      <c r="I56" s="90"/>
      <c r="J56" s="88">
        <f>J57+J59+J62+J64</f>
        <v>103282.70000000001</v>
      </c>
    </row>
    <row r="57" spans="2:10" ht="12.75" customHeight="1">
      <c r="B57" s="400" t="s">
        <v>1318</v>
      </c>
      <c r="C57" s="618" t="s">
        <v>74</v>
      </c>
      <c r="D57" s="619"/>
      <c r="E57" s="82" t="s">
        <v>18</v>
      </c>
      <c r="F57" s="95"/>
      <c r="G57" s="94"/>
      <c r="H57" s="93"/>
      <c r="I57" s="212"/>
      <c r="J57" s="213">
        <f>J58</f>
        <v>3255.81</v>
      </c>
    </row>
    <row r="58" spans="2:10">
      <c r="B58" s="397" t="s">
        <v>1319</v>
      </c>
      <c r="C58" s="92" t="s">
        <v>75</v>
      </c>
      <c r="D58" s="91" t="s">
        <v>76</v>
      </c>
      <c r="E58" s="92" t="s">
        <v>27</v>
      </c>
      <c r="F58" s="92" t="s">
        <v>28</v>
      </c>
      <c r="G58" s="93">
        <f>'MEMORIA DE CALCULO AMPLIAÇÃO'!J180</f>
        <v>6.4799999999999995</v>
      </c>
      <c r="H58" s="93">
        <v>391.86</v>
      </c>
      <c r="I58" s="93">
        <f>ROUND($H58*(1+$G$14),2)</f>
        <v>502.44</v>
      </c>
      <c r="J58" s="93">
        <f>ROUND(G58*I58,2)</f>
        <v>3255.81</v>
      </c>
    </row>
    <row r="59" spans="2:10" ht="12.75" customHeight="1">
      <c r="B59" s="400" t="s">
        <v>1320</v>
      </c>
      <c r="C59" s="624" t="s">
        <v>77</v>
      </c>
      <c r="D59" s="619"/>
      <c r="E59" s="82" t="s">
        <v>18</v>
      </c>
      <c r="F59" s="95"/>
      <c r="G59" s="94"/>
      <c r="H59" s="93"/>
      <c r="I59" s="212"/>
      <c r="J59" s="213">
        <f>SUM(J60:J61)</f>
        <v>76247.38</v>
      </c>
    </row>
    <row r="60" spans="2:10" ht="51">
      <c r="B60" s="397" t="s">
        <v>1321</v>
      </c>
      <c r="C60" s="100" t="s">
        <v>1050</v>
      </c>
      <c r="D60" s="286" t="s">
        <v>627</v>
      </c>
      <c r="E60" s="100" t="s">
        <v>21</v>
      </c>
      <c r="F60" s="92" t="s">
        <v>33</v>
      </c>
      <c r="G60" s="93">
        <f>'MEMORIA DE CALCULO AMPLIAÇÃO'!J183</f>
        <v>15</v>
      </c>
      <c r="H60" s="93">
        <f>'COMPOSICOES AMPLIAÇÃO'!G226</f>
        <v>3933.64</v>
      </c>
      <c r="I60" s="93">
        <f>ROUND($H60*(1+$H$14),2)</f>
        <v>4485.1400000000003</v>
      </c>
      <c r="J60" s="93">
        <f>ROUND(G60*I60,2)</f>
        <v>67277.100000000006</v>
      </c>
    </row>
    <row r="61" spans="2:10" ht="51">
      <c r="B61" s="397" t="s">
        <v>1322</v>
      </c>
      <c r="C61" s="294" t="s">
        <v>1053</v>
      </c>
      <c r="D61" s="286" t="s">
        <v>1074</v>
      </c>
      <c r="E61" s="100" t="s">
        <v>21</v>
      </c>
      <c r="F61" s="92" t="s">
        <v>33</v>
      </c>
      <c r="G61" s="280">
        <f>'MEMORIA DE CALCULO AMPLIAÇÃO'!J184</f>
        <v>2</v>
      </c>
      <c r="H61" s="280">
        <f>'COMPOSICOES AMPLIAÇÃO'!G279</f>
        <v>3933.64</v>
      </c>
      <c r="I61" s="280">
        <f>ROUND($H61*(1+$H$14),2)</f>
        <v>4485.1400000000003</v>
      </c>
      <c r="J61" s="280">
        <f>ROUND(G61*I61,2)</f>
        <v>8970.2800000000007</v>
      </c>
    </row>
    <row r="62" spans="2:10" ht="12.75" customHeight="1">
      <c r="B62" s="400" t="s">
        <v>1323</v>
      </c>
      <c r="C62" s="618" t="s">
        <v>78</v>
      </c>
      <c r="D62" s="619"/>
      <c r="E62" s="82" t="s">
        <v>18</v>
      </c>
      <c r="F62" s="95"/>
      <c r="G62" s="94"/>
      <c r="H62" s="93"/>
      <c r="I62" s="212"/>
      <c r="J62" s="213">
        <f>J63</f>
        <v>3720.5</v>
      </c>
    </row>
    <row r="63" spans="2:10" ht="25.5">
      <c r="B63" s="397" t="s">
        <v>1324</v>
      </c>
      <c r="C63" s="100" t="s">
        <v>79</v>
      </c>
      <c r="D63" s="91" t="s">
        <v>80</v>
      </c>
      <c r="E63" s="92" t="s">
        <v>27</v>
      </c>
      <c r="F63" s="92" t="s">
        <v>33</v>
      </c>
      <c r="G63" s="93">
        <f>'MEMORIA DE CALCULO AMPLIAÇÃO'!J186</f>
        <v>2</v>
      </c>
      <c r="H63" s="93" t="s">
        <v>81</v>
      </c>
      <c r="I63" s="93">
        <f>ROUND($H63*(1+$H$14),2)</f>
        <v>1860.25</v>
      </c>
      <c r="J63" s="93">
        <f>ROUND(G63*I63,2)</f>
        <v>3720.5</v>
      </c>
    </row>
    <row r="64" spans="2:10" ht="12.75" customHeight="1">
      <c r="B64" s="400" t="s">
        <v>1325</v>
      </c>
      <c r="C64" s="618" t="s">
        <v>82</v>
      </c>
      <c r="D64" s="622"/>
      <c r="E64" s="94"/>
      <c r="F64" s="94"/>
      <c r="G64" s="94"/>
      <c r="H64" s="93"/>
      <c r="I64" s="212"/>
      <c r="J64" s="213">
        <f>SUM(J65:J68)</f>
        <v>20059.010000000002</v>
      </c>
    </row>
    <row r="65" spans="2:10" ht="25.5">
      <c r="B65" s="397" t="s">
        <v>1326</v>
      </c>
      <c r="C65" s="92" t="s">
        <v>83</v>
      </c>
      <c r="D65" s="91" t="s">
        <v>84</v>
      </c>
      <c r="E65" s="92" t="s">
        <v>27</v>
      </c>
      <c r="F65" s="92" t="s">
        <v>28</v>
      </c>
      <c r="G65" s="93">
        <f>'MEMORIA DE CALCULO AMPLIAÇÃO'!J188</f>
        <v>16.8</v>
      </c>
      <c r="H65" s="93" t="s">
        <v>85</v>
      </c>
      <c r="I65" s="93">
        <f>ROUND($H65*(1+$G$14),2)</f>
        <v>611.9</v>
      </c>
      <c r="J65" s="93">
        <f>ROUND(G65*I65,2)</f>
        <v>10279.92</v>
      </c>
    </row>
    <row r="66" spans="2:10" ht="38.25">
      <c r="B66" s="397" t="s">
        <v>1327</v>
      </c>
      <c r="C66" s="92" t="s">
        <v>86</v>
      </c>
      <c r="D66" s="91" t="s">
        <v>87</v>
      </c>
      <c r="E66" s="92" t="s">
        <v>27</v>
      </c>
      <c r="F66" s="92" t="s">
        <v>28</v>
      </c>
      <c r="G66" s="93">
        <f>'MEMORIA DE CALCULO AMPLIAÇÃO'!J189</f>
        <v>2.0999999999999996</v>
      </c>
      <c r="H66" s="93" t="s">
        <v>88</v>
      </c>
      <c r="I66" s="93">
        <f>ROUND($H66*(1+$G$14),2)</f>
        <v>651.77</v>
      </c>
      <c r="J66" s="93">
        <f>ROUND(G66*I66,2)</f>
        <v>1368.72</v>
      </c>
    </row>
    <row r="67" spans="2:10" ht="38.25">
      <c r="B67" s="397" t="s">
        <v>1328</v>
      </c>
      <c r="C67" s="92" t="s">
        <v>86</v>
      </c>
      <c r="D67" s="91" t="s">
        <v>89</v>
      </c>
      <c r="E67" s="92" t="s">
        <v>27</v>
      </c>
      <c r="F67" s="92" t="s">
        <v>28</v>
      </c>
      <c r="G67" s="93">
        <f>'MEMORIA DE CALCULO AMPLIAÇÃO'!J190</f>
        <v>10.864000000000001</v>
      </c>
      <c r="H67" s="93" t="s">
        <v>88</v>
      </c>
      <c r="I67" s="93">
        <f>ROUND($H67*(1+$G$14),2)</f>
        <v>651.77</v>
      </c>
      <c r="J67" s="93">
        <f>ROUND(G67*I67,2)</f>
        <v>7080.83</v>
      </c>
    </row>
    <row r="68" spans="2:10" ht="25.5">
      <c r="B68" s="397" t="s">
        <v>1329</v>
      </c>
      <c r="C68" s="92" t="s">
        <v>83</v>
      </c>
      <c r="D68" s="91" t="s">
        <v>90</v>
      </c>
      <c r="E68" s="92" t="s">
        <v>27</v>
      </c>
      <c r="F68" s="92" t="s">
        <v>28</v>
      </c>
      <c r="G68" s="93">
        <f>'MEMORIA DE CALCULO AMPLIAÇÃO'!J191</f>
        <v>2.1728000000000001</v>
      </c>
      <c r="H68" s="93" t="s">
        <v>85</v>
      </c>
      <c r="I68" s="93">
        <f>ROUND($H68*(1+$G$14),2)</f>
        <v>611.9</v>
      </c>
      <c r="J68" s="93">
        <f>ROUND(G68*I68,2)</f>
        <v>1329.54</v>
      </c>
    </row>
    <row r="69" spans="2:10" ht="12.75" customHeight="1">
      <c r="B69" s="398" t="s">
        <v>1330</v>
      </c>
      <c r="C69" s="620" t="s">
        <v>91</v>
      </c>
      <c r="D69" s="617"/>
      <c r="E69" s="81" t="s">
        <v>18</v>
      </c>
      <c r="F69" s="89"/>
      <c r="G69" s="89"/>
      <c r="H69" s="181"/>
      <c r="I69" s="90"/>
      <c r="J69" s="88">
        <f>SUM(J70:J74)</f>
        <v>50247.92</v>
      </c>
    </row>
    <row r="70" spans="2:10" ht="25.5">
      <c r="B70" s="397" t="s">
        <v>1331</v>
      </c>
      <c r="C70" s="92" t="s">
        <v>92</v>
      </c>
      <c r="D70" s="91" t="s">
        <v>93</v>
      </c>
      <c r="E70" s="92" t="s">
        <v>27</v>
      </c>
      <c r="F70" s="92" t="s">
        <v>28</v>
      </c>
      <c r="G70" s="93">
        <f>'MEMORIA DE CALCULO AMPLIAÇÃO'!J194</f>
        <v>318.68220000000002</v>
      </c>
      <c r="H70" s="93" t="s">
        <v>94</v>
      </c>
      <c r="I70" s="93">
        <f>ROUND($H70*(1+$G$14),2)</f>
        <v>128.87</v>
      </c>
      <c r="J70" s="93">
        <f>ROUND(G70*I70,2)</f>
        <v>41068.58</v>
      </c>
    </row>
    <row r="71" spans="2:10">
      <c r="B71" s="397" t="s">
        <v>1332</v>
      </c>
      <c r="C71" s="92" t="s">
        <v>95</v>
      </c>
      <c r="D71" s="91" t="s">
        <v>96</v>
      </c>
      <c r="E71" s="92" t="s">
        <v>27</v>
      </c>
      <c r="F71" s="92" t="s">
        <v>97</v>
      </c>
      <c r="G71" s="93">
        <f>'MEMORIA DE CALCULO AMPLIAÇÃO'!J195</f>
        <v>16.22</v>
      </c>
      <c r="H71" s="93" t="s">
        <v>98</v>
      </c>
      <c r="I71" s="93">
        <f>ROUND($H71*(1+$G$14),2)</f>
        <v>40.98</v>
      </c>
      <c r="J71" s="93">
        <f>ROUND(G71*I71,2)</f>
        <v>664.7</v>
      </c>
    </row>
    <row r="72" spans="2:10" ht="25.5">
      <c r="B72" s="397" t="s">
        <v>1333</v>
      </c>
      <c r="C72" s="92" t="s">
        <v>99</v>
      </c>
      <c r="D72" s="91" t="s">
        <v>100</v>
      </c>
      <c r="E72" s="92" t="s">
        <v>27</v>
      </c>
      <c r="F72" s="92" t="s">
        <v>97</v>
      </c>
      <c r="G72" s="93">
        <f>'MEMORIA DE CALCULO AMPLIAÇÃO'!J196</f>
        <v>40.36</v>
      </c>
      <c r="H72" s="93" t="s">
        <v>101</v>
      </c>
      <c r="I72" s="93">
        <f>ROUND($H72*(1+$G$14),2)</f>
        <v>34.31</v>
      </c>
      <c r="J72" s="93">
        <f>ROUND(G72*I72,2)</f>
        <v>1384.75</v>
      </c>
    </row>
    <row r="73" spans="2:10" ht="38.25">
      <c r="B73" s="397" t="s">
        <v>1334</v>
      </c>
      <c r="C73" s="92" t="s">
        <v>102</v>
      </c>
      <c r="D73" s="91" t="s">
        <v>103</v>
      </c>
      <c r="E73" s="92" t="s">
        <v>27</v>
      </c>
      <c r="F73" s="92" t="s">
        <v>97</v>
      </c>
      <c r="G73" s="93">
        <f>'MEMORIA DE CALCULO AMPLIAÇÃO'!J197</f>
        <v>31.84</v>
      </c>
      <c r="H73" s="93" t="s">
        <v>104</v>
      </c>
      <c r="I73" s="93">
        <f>ROUND($H73*(1+$G$14),2)</f>
        <v>124.63</v>
      </c>
      <c r="J73" s="93">
        <f>ROUND(G73*I73,2)</f>
        <v>3968.22</v>
      </c>
    </row>
    <row r="74" spans="2:10" ht="38.25">
      <c r="B74" s="397" t="s">
        <v>1335</v>
      </c>
      <c r="C74" s="92" t="s">
        <v>99</v>
      </c>
      <c r="D74" s="277" t="s">
        <v>1078</v>
      </c>
      <c r="E74" s="92" t="s">
        <v>27</v>
      </c>
      <c r="F74" s="92" t="s">
        <v>97</v>
      </c>
      <c r="G74" s="93">
        <f>'MEMORIA DE CALCULO AMPLIAÇÃO'!J198</f>
        <v>92.15</v>
      </c>
      <c r="H74" s="280" t="s">
        <v>101</v>
      </c>
      <c r="I74" s="93">
        <f>ROUND($H74*(1+$G$14),2)</f>
        <v>34.31</v>
      </c>
      <c r="J74" s="93">
        <f>ROUND(G74*I74,2)</f>
        <v>3161.67</v>
      </c>
    </row>
    <row r="75" spans="2:10" ht="12.75" customHeight="1">
      <c r="B75" s="398" t="s">
        <v>1336</v>
      </c>
      <c r="C75" s="620" t="s">
        <v>105</v>
      </c>
      <c r="D75" s="621"/>
      <c r="E75" s="89"/>
      <c r="F75" s="89"/>
      <c r="G75" s="89"/>
      <c r="H75" s="181"/>
      <c r="I75" s="90"/>
      <c r="J75" s="88">
        <f>SUM(J76:J77)</f>
        <v>8223.0299999999988</v>
      </c>
    </row>
    <row r="76" spans="2:10" ht="25.5">
      <c r="B76" s="397" t="s">
        <v>1337</v>
      </c>
      <c r="C76" s="311" t="s">
        <v>914</v>
      </c>
      <c r="D76" s="91" t="s">
        <v>106</v>
      </c>
      <c r="E76" s="92" t="s">
        <v>27</v>
      </c>
      <c r="F76" s="92" t="s">
        <v>28</v>
      </c>
      <c r="G76" s="93">
        <f>'MEMORIA DE CALCULO AMPLIAÇÃO'!J204</f>
        <v>108.75999999999999</v>
      </c>
      <c r="H76" s="93">
        <v>26.56</v>
      </c>
      <c r="I76" s="93">
        <f>ROUND($H76*(1+$G$14),2)</f>
        <v>34.06</v>
      </c>
      <c r="J76" s="93">
        <f>ROUND(G76*I76,2)</f>
        <v>3704.37</v>
      </c>
    </row>
    <row r="77" spans="2:10" ht="51">
      <c r="B77" s="397" t="s">
        <v>1338</v>
      </c>
      <c r="C77" s="100" t="s">
        <v>107</v>
      </c>
      <c r="D77" s="91" t="s">
        <v>108</v>
      </c>
      <c r="E77" s="92" t="s">
        <v>27</v>
      </c>
      <c r="F77" s="92" t="s">
        <v>28</v>
      </c>
      <c r="G77" s="93">
        <f>'MEMORIA DE CALCULO AMPLIAÇÃO'!J218</f>
        <v>48.64</v>
      </c>
      <c r="H77" s="93" t="s">
        <v>109</v>
      </c>
      <c r="I77" s="93">
        <f>ROUND($H77*(1+$G$14),2)</f>
        <v>92.9</v>
      </c>
      <c r="J77" s="93">
        <f>ROUND(G77*I77,2)</f>
        <v>4518.66</v>
      </c>
    </row>
    <row r="78" spans="2:10" ht="12.75" customHeight="1">
      <c r="B78" s="398" t="s">
        <v>1339</v>
      </c>
      <c r="C78" s="616" t="s">
        <v>661</v>
      </c>
      <c r="D78" s="621"/>
      <c r="E78" s="89"/>
      <c r="F78" s="89"/>
      <c r="G78" s="89"/>
      <c r="H78" s="181"/>
      <c r="I78" s="90"/>
      <c r="J78" s="88">
        <f>SUM(J79:J88)</f>
        <v>175480.81</v>
      </c>
    </row>
    <row r="79" spans="2:10" ht="25.5">
      <c r="B79" s="397" t="s">
        <v>1340</v>
      </c>
      <c r="C79" s="92" t="s">
        <v>110</v>
      </c>
      <c r="D79" s="277" t="s">
        <v>663</v>
      </c>
      <c r="E79" s="92" t="s">
        <v>27</v>
      </c>
      <c r="F79" s="92" t="s">
        <v>28</v>
      </c>
      <c r="G79" s="93">
        <f>'MEMORIA DE CALCULO AMPLIAÇÃO'!J221</f>
        <v>75.509999999999991</v>
      </c>
      <c r="H79" s="93" t="s">
        <v>111</v>
      </c>
      <c r="I79" s="93">
        <f t="shared" ref="I79:I87" si="7">ROUND($H79*(1+$G$14),2)</f>
        <v>79.78</v>
      </c>
      <c r="J79" s="93">
        <f t="shared" ref="J79:J88" si="8">ROUND(G79*I79,2)</f>
        <v>6024.19</v>
      </c>
    </row>
    <row r="80" spans="2:10" ht="102">
      <c r="B80" s="397" t="s">
        <v>1341</v>
      </c>
      <c r="C80" s="100" t="s">
        <v>1055</v>
      </c>
      <c r="D80" s="286" t="s">
        <v>665</v>
      </c>
      <c r="E80" s="100" t="s">
        <v>21</v>
      </c>
      <c r="F80" s="92" t="s">
        <v>28</v>
      </c>
      <c r="G80" s="93">
        <f>'MEMORIA DE CALCULO AMPLIAÇÃO'!J227</f>
        <v>60.720000000000006</v>
      </c>
      <c r="H80" s="93">
        <f>'COMPOSICOES AMPLIAÇÃO'!G326</f>
        <v>350</v>
      </c>
      <c r="I80" s="93">
        <f>ROUND($H80*(1+$H$14),2)</f>
        <v>399.07</v>
      </c>
      <c r="J80" s="93">
        <f t="shared" si="8"/>
        <v>24231.53</v>
      </c>
    </row>
    <row r="81" spans="2:10" ht="25.5">
      <c r="B81" s="397" t="s">
        <v>1342</v>
      </c>
      <c r="C81" s="92">
        <v>96114</v>
      </c>
      <c r="D81" s="286" t="s">
        <v>982</v>
      </c>
      <c r="E81" s="100" t="s">
        <v>1060</v>
      </c>
      <c r="F81" s="92" t="s">
        <v>28</v>
      </c>
      <c r="G81" s="93">
        <f>'MEMORIA DE CALCULO AMPLIAÇÃO'!J235</f>
        <v>353.19939999999997</v>
      </c>
      <c r="H81" s="93">
        <v>41.03</v>
      </c>
      <c r="I81" s="93">
        <f t="shared" si="7"/>
        <v>52.61</v>
      </c>
      <c r="J81" s="93">
        <f t="shared" si="8"/>
        <v>18581.82</v>
      </c>
    </row>
    <row r="82" spans="2:10" ht="25.5">
      <c r="B82" s="397" t="s">
        <v>1343</v>
      </c>
      <c r="C82" s="92">
        <v>96123</v>
      </c>
      <c r="D82" s="297" t="s">
        <v>983</v>
      </c>
      <c r="E82" s="92" t="s">
        <v>1060</v>
      </c>
      <c r="F82" s="92" t="s">
        <v>649</v>
      </c>
      <c r="G82" s="284">
        <f>'MEMORIA DE CALCULO AMPLIAÇÃO'!J258</f>
        <v>357.15999999999997</v>
      </c>
      <c r="H82" s="284">
        <v>17</v>
      </c>
      <c r="I82" s="284">
        <f t="shared" si="7"/>
        <v>21.8</v>
      </c>
      <c r="J82" s="284">
        <f t="shared" ref="J82" si="9">ROUND(G82*I82,2)</f>
        <v>7786.09</v>
      </c>
    </row>
    <row r="83" spans="2:10" ht="38.25">
      <c r="B83" s="397" t="s">
        <v>1344</v>
      </c>
      <c r="C83" s="92">
        <v>96131</v>
      </c>
      <c r="D83" s="297" t="s">
        <v>984</v>
      </c>
      <c r="E83" s="92" t="s">
        <v>1060</v>
      </c>
      <c r="F83" s="92" t="s">
        <v>543</v>
      </c>
      <c r="G83" s="284">
        <f>'MEMORIA DE CALCULO AMPLIAÇÃO'!J281</f>
        <v>353.19939999999997</v>
      </c>
      <c r="H83" s="284">
        <v>18.62</v>
      </c>
      <c r="I83" s="284">
        <f t="shared" si="7"/>
        <v>23.87</v>
      </c>
      <c r="J83" s="284">
        <f t="shared" ref="J83:J84" si="10">ROUND(G83*I83,2)</f>
        <v>8430.8700000000008</v>
      </c>
    </row>
    <row r="84" spans="2:10" ht="25.5">
      <c r="B84" s="397" t="s">
        <v>1345</v>
      </c>
      <c r="C84" s="92">
        <v>88488</v>
      </c>
      <c r="D84" s="297" t="s">
        <v>931</v>
      </c>
      <c r="E84" s="92" t="s">
        <v>1060</v>
      </c>
      <c r="F84" s="92" t="s">
        <v>543</v>
      </c>
      <c r="G84" s="284">
        <f>'MEMORIA DE CALCULO AMPLIAÇÃO'!J284</f>
        <v>353.19939999999997</v>
      </c>
      <c r="H84" s="284">
        <v>11.07</v>
      </c>
      <c r="I84" s="284">
        <f t="shared" si="7"/>
        <v>14.19</v>
      </c>
      <c r="J84" s="284">
        <f t="shared" si="10"/>
        <v>5011.8999999999996</v>
      </c>
    </row>
    <row r="85" spans="2:10" ht="38.25">
      <c r="B85" s="397" t="s">
        <v>1346</v>
      </c>
      <c r="C85" s="100" t="s">
        <v>1211</v>
      </c>
      <c r="D85" s="286" t="s">
        <v>1238</v>
      </c>
      <c r="E85" s="100" t="s">
        <v>1212</v>
      </c>
      <c r="F85" s="92" t="s">
        <v>28</v>
      </c>
      <c r="G85" s="93">
        <f>'MEMORIA DE CALCULO AMPLIAÇÃO'!J287</f>
        <v>24.2</v>
      </c>
      <c r="H85" s="93">
        <v>303.83</v>
      </c>
      <c r="I85" s="93">
        <f>ROUND($H85*(1+$H$14),2)</f>
        <v>346.43</v>
      </c>
      <c r="J85" s="93">
        <f t="shared" si="8"/>
        <v>8383.61</v>
      </c>
    </row>
    <row r="86" spans="2:10">
      <c r="B86" s="397" t="s">
        <v>1347</v>
      </c>
      <c r="C86" s="92" t="s">
        <v>112</v>
      </c>
      <c r="D86" s="91" t="s">
        <v>113</v>
      </c>
      <c r="E86" s="92" t="s">
        <v>27</v>
      </c>
      <c r="F86" s="92" t="s">
        <v>28</v>
      </c>
      <c r="G86" s="93">
        <f>'MEMORIA DE CALCULO AMPLIAÇÃO'!J289</f>
        <v>96.06</v>
      </c>
      <c r="H86" s="93" t="s">
        <v>114</v>
      </c>
      <c r="I86" s="93">
        <f t="shared" si="7"/>
        <v>556.24</v>
      </c>
      <c r="J86" s="93">
        <f t="shared" si="8"/>
        <v>53432.41</v>
      </c>
    </row>
    <row r="87" spans="2:10" ht="25.5">
      <c r="B87" s="397" t="s">
        <v>1348</v>
      </c>
      <c r="C87" s="92" t="s">
        <v>115</v>
      </c>
      <c r="D87" s="91" t="s">
        <v>116</v>
      </c>
      <c r="E87" s="92" t="s">
        <v>27</v>
      </c>
      <c r="F87" s="92" t="s">
        <v>28</v>
      </c>
      <c r="G87" s="93">
        <f>'MEMORIA DE CALCULO AMPLIAÇÃO'!J290</f>
        <v>96.06</v>
      </c>
      <c r="H87" s="93">
        <v>328.35</v>
      </c>
      <c r="I87" s="93">
        <f t="shared" si="7"/>
        <v>421.01</v>
      </c>
      <c r="J87" s="93">
        <f t="shared" si="8"/>
        <v>40442.22</v>
      </c>
    </row>
    <row r="88" spans="2:10">
      <c r="B88" s="397" t="s">
        <v>1349</v>
      </c>
      <c r="C88" s="100" t="s">
        <v>1058</v>
      </c>
      <c r="D88" s="286" t="s">
        <v>685</v>
      </c>
      <c r="E88" s="100" t="s">
        <v>21</v>
      </c>
      <c r="F88" s="92" t="s">
        <v>28</v>
      </c>
      <c r="G88" s="93">
        <f>'MEMORIA DE CALCULO AMPLIAÇÃO'!J291</f>
        <v>110.70400000000001</v>
      </c>
      <c r="H88" s="93">
        <f>'COMPOSICOES AMPLIAÇÃO'!G384</f>
        <v>25</v>
      </c>
      <c r="I88" s="93">
        <f>ROUND($H88*(1+$H$14),2)</f>
        <v>28.51</v>
      </c>
      <c r="J88" s="93">
        <f t="shared" si="8"/>
        <v>3156.17</v>
      </c>
    </row>
    <row r="89" spans="2:10" ht="12.75" customHeight="1">
      <c r="B89" s="398" t="s">
        <v>1350</v>
      </c>
      <c r="C89" s="620" t="s">
        <v>117</v>
      </c>
      <c r="D89" s="621"/>
      <c r="E89" s="81" t="s">
        <v>18</v>
      </c>
      <c r="F89" s="89"/>
      <c r="G89" s="89"/>
      <c r="H89" s="181"/>
      <c r="I89" s="90"/>
      <c r="J89" s="88">
        <f>J90+J98</f>
        <v>82510.509999999995</v>
      </c>
    </row>
    <row r="90" spans="2:10" ht="12.75" customHeight="1">
      <c r="B90" s="397" t="s">
        <v>1351</v>
      </c>
      <c r="C90" s="618" t="s">
        <v>118</v>
      </c>
      <c r="D90" s="619"/>
      <c r="E90" s="82" t="s">
        <v>18</v>
      </c>
      <c r="F90" s="95"/>
      <c r="G90" s="94"/>
      <c r="H90" s="93"/>
      <c r="I90" s="212"/>
      <c r="J90" s="213">
        <f>SUM(J91:J97)</f>
        <v>58475.61</v>
      </c>
    </row>
    <row r="91" spans="2:10" ht="38.25">
      <c r="B91" s="397" t="s">
        <v>1352</v>
      </c>
      <c r="C91" s="92" t="s">
        <v>119</v>
      </c>
      <c r="D91" s="91" t="s">
        <v>120</v>
      </c>
      <c r="E91" s="92" t="s">
        <v>27</v>
      </c>
      <c r="F91" s="92" t="s">
        <v>28</v>
      </c>
      <c r="G91" s="93">
        <f>'MEMORIA DE CALCULO AMPLIAÇÃO'!J295</f>
        <v>374.15829999999994</v>
      </c>
      <c r="H91" s="93" t="s">
        <v>121</v>
      </c>
      <c r="I91" s="93">
        <f t="shared" ref="I91:I97" si="11">ROUND($H91*(1+$G$14),2)</f>
        <v>34.07</v>
      </c>
      <c r="J91" s="93">
        <f t="shared" ref="J91:J97" si="12">ROUND(G91*I91,2)</f>
        <v>12747.57</v>
      </c>
    </row>
    <row r="92" spans="2:10" ht="25.5">
      <c r="B92" s="397" t="s">
        <v>1353</v>
      </c>
      <c r="C92" s="92" t="s">
        <v>122</v>
      </c>
      <c r="D92" s="91" t="s">
        <v>123</v>
      </c>
      <c r="E92" s="92" t="s">
        <v>27</v>
      </c>
      <c r="F92" s="92" t="s">
        <v>28</v>
      </c>
      <c r="G92" s="93">
        <f>'MEMORIA DE CALCULO AMPLIAÇÃO'!J296</f>
        <v>40.256899999999995</v>
      </c>
      <c r="H92" s="93" t="s">
        <v>124</v>
      </c>
      <c r="I92" s="93">
        <f t="shared" si="11"/>
        <v>34.29</v>
      </c>
      <c r="J92" s="93">
        <f t="shared" si="12"/>
        <v>1380.41</v>
      </c>
    </row>
    <row r="93" spans="2:10">
      <c r="B93" s="397" t="s">
        <v>1354</v>
      </c>
      <c r="C93" s="92" t="s">
        <v>125</v>
      </c>
      <c r="D93" s="91" t="s">
        <v>126</v>
      </c>
      <c r="E93" s="92" t="s">
        <v>27</v>
      </c>
      <c r="F93" s="92" t="s">
        <v>28</v>
      </c>
      <c r="G93" s="93">
        <f>'MEMORIA DE CALCULO AMPLIAÇÃO'!J302</f>
        <v>333.90139999999997</v>
      </c>
      <c r="H93" s="93" t="s">
        <v>127</v>
      </c>
      <c r="I93" s="93">
        <f t="shared" si="11"/>
        <v>87.46</v>
      </c>
      <c r="J93" s="93">
        <f t="shared" si="12"/>
        <v>29203.02</v>
      </c>
    </row>
    <row r="94" spans="2:10" ht="51">
      <c r="B94" s="397" t="s">
        <v>1355</v>
      </c>
      <c r="C94" s="92">
        <v>72190</v>
      </c>
      <c r="D94" s="277" t="s">
        <v>1089</v>
      </c>
      <c r="E94" s="92" t="s">
        <v>27</v>
      </c>
      <c r="F94" s="92" t="s">
        <v>97</v>
      </c>
      <c r="G94" s="93">
        <f>'MEMORIA DE CALCULO AMPLIAÇÃO'!J321</f>
        <v>312.24</v>
      </c>
      <c r="H94" s="93">
        <v>25.92</v>
      </c>
      <c r="I94" s="93">
        <f t="shared" si="11"/>
        <v>33.229999999999997</v>
      </c>
      <c r="J94" s="93">
        <f t="shared" si="12"/>
        <v>10375.74</v>
      </c>
    </row>
    <row r="95" spans="2:10" ht="51">
      <c r="B95" s="397" t="s">
        <v>1356</v>
      </c>
      <c r="C95" s="92">
        <v>84167</v>
      </c>
      <c r="D95" s="297" t="s">
        <v>1091</v>
      </c>
      <c r="E95" s="92" t="s">
        <v>1060</v>
      </c>
      <c r="F95" s="92" t="s">
        <v>649</v>
      </c>
      <c r="G95" s="284">
        <f>'MEMORIA DE CALCULO AMPLIAÇÃO'!J341</f>
        <v>47.169999999999995</v>
      </c>
      <c r="H95" s="284">
        <v>27.41</v>
      </c>
      <c r="I95" s="284">
        <f t="shared" si="11"/>
        <v>35.15</v>
      </c>
      <c r="J95" s="284">
        <f t="shared" ref="J95" si="13">ROUND(G95*I95,2)</f>
        <v>1658.03</v>
      </c>
    </row>
    <row r="96" spans="2:10" ht="51">
      <c r="B96" s="397" t="s">
        <v>1357</v>
      </c>
      <c r="C96" s="92">
        <v>84161</v>
      </c>
      <c r="D96" s="286" t="s">
        <v>1092</v>
      </c>
      <c r="E96" s="100" t="s">
        <v>1060</v>
      </c>
      <c r="F96" s="92" t="s">
        <v>97</v>
      </c>
      <c r="G96" s="93">
        <f>'MEMORIA DE CALCULO AMPLIAÇÃO'!J347</f>
        <v>3.6</v>
      </c>
      <c r="H96" s="93">
        <v>39.369999999999997</v>
      </c>
      <c r="I96" s="93">
        <f t="shared" si="11"/>
        <v>50.48</v>
      </c>
      <c r="J96" s="93">
        <f t="shared" si="12"/>
        <v>181.73</v>
      </c>
    </row>
    <row r="97" spans="2:10" ht="25.5">
      <c r="B97" s="397" t="s">
        <v>1358</v>
      </c>
      <c r="C97" s="92" t="s">
        <v>1069</v>
      </c>
      <c r="D97" s="277" t="s">
        <v>1107</v>
      </c>
      <c r="E97" s="100" t="s">
        <v>21</v>
      </c>
      <c r="F97" s="92" t="s">
        <v>28</v>
      </c>
      <c r="G97" s="93">
        <f>'MEMORIA DE CALCULO AMPLIAÇÃO'!J353</f>
        <v>15.4375</v>
      </c>
      <c r="H97" s="93">
        <f>'COMPOSICOES AMPLIAÇÃO'!G492</f>
        <v>147.97999999999999</v>
      </c>
      <c r="I97" s="93">
        <f t="shared" si="11"/>
        <v>189.74</v>
      </c>
      <c r="J97" s="93">
        <f t="shared" si="12"/>
        <v>2929.11</v>
      </c>
    </row>
    <row r="98" spans="2:10" ht="12.75" customHeight="1">
      <c r="B98" s="400" t="s">
        <v>1352</v>
      </c>
      <c r="C98" s="618" t="s">
        <v>128</v>
      </c>
      <c r="D98" s="619"/>
      <c r="E98" s="82" t="s">
        <v>18</v>
      </c>
      <c r="F98" s="95"/>
      <c r="G98" s="94"/>
      <c r="H98" s="93"/>
      <c r="I98" s="212"/>
      <c r="J98" s="213">
        <f>SUM(J99:J103)</f>
        <v>24034.899999999998</v>
      </c>
    </row>
    <row r="99" spans="2:10" ht="25.5">
      <c r="B99" s="397" t="s">
        <v>1359</v>
      </c>
      <c r="C99" s="92" t="s">
        <v>129</v>
      </c>
      <c r="D99" s="91" t="s">
        <v>130</v>
      </c>
      <c r="E99" s="92" t="s">
        <v>27</v>
      </c>
      <c r="F99" s="92" t="s">
        <v>28</v>
      </c>
      <c r="G99" s="93">
        <f>'MEMORIA DE CALCULO AMPLIAÇÃO'!J357</f>
        <v>103.206</v>
      </c>
      <c r="H99" s="93" t="s">
        <v>131</v>
      </c>
      <c r="I99" s="93">
        <f t="shared" ref="I99:I103" si="14">ROUND($H99*(1+$G$14),2)</f>
        <v>58.92</v>
      </c>
      <c r="J99" s="93">
        <f t="shared" ref="J99:J103" si="15">ROUND(G99*I99,2)</f>
        <v>6080.9</v>
      </c>
    </row>
    <row r="100" spans="2:10" ht="38.25">
      <c r="B100" s="397" t="s">
        <v>1360</v>
      </c>
      <c r="C100" s="92" t="s">
        <v>132</v>
      </c>
      <c r="D100" s="91" t="s">
        <v>133</v>
      </c>
      <c r="E100" s="92" t="s">
        <v>27</v>
      </c>
      <c r="F100" s="92" t="s">
        <v>28</v>
      </c>
      <c r="G100" s="93">
        <f>'MEMORIA DE CALCULO AMPLIAÇÃO'!J367</f>
        <v>75.5398</v>
      </c>
      <c r="H100" s="93" t="s">
        <v>134</v>
      </c>
      <c r="I100" s="93">
        <f t="shared" si="14"/>
        <v>81.97</v>
      </c>
      <c r="J100" s="93">
        <f t="shared" si="15"/>
        <v>6192</v>
      </c>
    </row>
    <row r="101" spans="2:10" ht="25.5">
      <c r="B101" s="397" t="s">
        <v>1361</v>
      </c>
      <c r="C101" s="92" t="s">
        <v>1094</v>
      </c>
      <c r="D101" s="277" t="s">
        <v>1108</v>
      </c>
      <c r="E101" s="92" t="s">
        <v>27</v>
      </c>
      <c r="F101" s="92" t="s">
        <v>28</v>
      </c>
      <c r="G101" s="93">
        <f>'MEMORIA DE CALCULO AMPLIAÇÃO'!J369</f>
        <v>1.125</v>
      </c>
      <c r="H101" s="93">
        <f>'COMPOSICOES AMPLIAÇÃO'!G546</f>
        <v>351.76000000000005</v>
      </c>
      <c r="I101" s="93">
        <f t="shared" si="14"/>
        <v>451.03</v>
      </c>
      <c r="J101" s="93">
        <f t="shared" si="15"/>
        <v>507.41</v>
      </c>
    </row>
    <row r="102" spans="2:10" ht="25.5">
      <c r="B102" s="397" t="s">
        <v>1362</v>
      </c>
      <c r="C102" s="92" t="s">
        <v>135</v>
      </c>
      <c r="D102" s="91" t="s">
        <v>136</v>
      </c>
      <c r="E102" s="92" t="s">
        <v>27</v>
      </c>
      <c r="F102" s="92" t="s">
        <v>97</v>
      </c>
      <c r="G102" s="93">
        <f>'MEMORIA DE CALCULO AMPLIAÇÃO'!J373</f>
        <v>171.79999999999998</v>
      </c>
      <c r="H102" s="93" t="s">
        <v>137</v>
      </c>
      <c r="I102" s="93">
        <f t="shared" si="14"/>
        <v>41.72</v>
      </c>
      <c r="J102" s="93">
        <f t="shared" si="15"/>
        <v>7167.5</v>
      </c>
    </row>
    <row r="103" spans="2:10">
      <c r="B103" s="397" t="s">
        <v>1363</v>
      </c>
      <c r="C103" s="100" t="s">
        <v>138</v>
      </c>
      <c r="D103" s="91" t="s">
        <v>139</v>
      </c>
      <c r="E103" s="92" t="s">
        <v>27</v>
      </c>
      <c r="F103" s="92" t="s">
        <v>28</v>
      </c>
      <c r="G103" s="93">
        <f>'MEMORIA DE CALCULO AMPLIAÇÃO'!J380</f>
        <v>314.39140000000003</v>
      </c>
      <c r="H103" s="93" t="s">
        <v>140</v>
      </c>
      <c r="I103" s="93">
        <f t="shared" si="14"/>
        <v>13</v>
      </c>
      <c r="J103" s="93">
        <f t="shared" si="15"/>
        <v>4087.09</v>
      </c>
    </row>
    <row r="104" spans="2:10" ht="12.75" customHeight="1">
      <c r="B104" s="398" t="s">
        <v>1364</v>
      </c>
      <c r="C104" s="620" t="s">
        <v>141</v>
      </c>
      <c r="D104" s="621"/>
      <c r="E104" s="81" t="s">
        <v>18</v>
      </c>
      <c r="F104" s="89"/>
      <c r="G104" s="89"/>
      <c r="H104" s="181"/>
      <c r="I104" s="87"/>
      <c r="J104" s="88">
        <f>J105+J137+J146</f>
        <v>13081.310000000001</v>
      </c>
    </row>
    <row r="105" spans="2:10" ht="12.75" customHeight="1">
      <c r="B105" s="400" t="s">
        <v>1365</v>
      </c>
      <c r="C105" s="618" t="s">
        <v>142</v>
      </c>
      <c r="D105" s="619"/>
      <c r="E105" s="83" t="s">
        <v>18</v>
      </c>
      <c r="F105" s="96"/>
      <c r="G105" s="96"/>
      <c r="H105" s="93"/>
      <c r="I105" s="214"/>
      <c r="J105" s="213">
        <f>SUM(J106:J136)</f>
        <v>8413.73</v>
      </c>
    </row>
    <row r="106" spans="2:10">
      <c r="B106" s="397" t="s">
        <v>1366</v>
      </c>
      <c r="C106" s="92" t="s">
        <v>143</v>
      </c>
      <c r="D106" s="91" t="s">
        <v>144</v>
      </c>
      <c r="E106" s="92" t="s">
        <v>27</v>
      </c>
      <c r="F106" s="92" t="s">
        <v>97</v>
      </c>
      <c r="G106" s="93">
        <v>240</v>
      </c>
      <c r="H106" s="93" t="s">
        <v>145</v>
      </c>
      <c r="I106" s="93">
        <f t="shared" ref="I106:I136" si="16">ROUND($H106*(1+$G$14),2)</f>
        <v>4.9400000000000004</v>
      </c>
      <c r="J106" s="93">
        <f t="shared" ref="J106:J136" si="17">ROUND(G106*I106,2)</f>
        <v>1185.5999999999999</v>
      </c>
    </row>
    <row r="107" spans="2:10">
      <c r="B107" s="397" t="s">
        <v>1367</v>
      </c>
      <c r="C107" s="92" t="s">
        <v>146</v>
      </c>
      <c r="D107" s="91" t="s">
        <v>147</v>
      </c>
      <c r="E107" s="92" t="s">
        <v>27</v>
      </c>
      <c r="F107" s="92" t="s">
        <v>97</v>
      </c>
      <c r="G107" s="93">
        <v>90</v>
      </c>
      <c r="H107" s="93" t="s">
        <v>148</v>
      </c>
      <c r="I107" s="93">
        <f t="shared" si="16"/>
        <v>10</v>
      </c>
      <c r="J107" s="93">
        <f t="shared" si="17"/>
        <v>900</v>
      </c>
    </row>
    <row r="108" spans="2:10" ht="25.5">
      <c r="B108" s="397" t="s">
        <v>1368</v>
      </c>
      <c r="C108" s="92" t="s">
        <v>149</v>
      </c>
      <c r="D108" s="91" t="s">
        <v>150</v>
      </c>
      <c r="E108" s="92" t="s">
        <v>27</v>
      </c>
      <c r="F108" s="92" t="s">
        <v>97</v>
      </c>
      <c r="G108" s="93">
        <v>12</v>
      </c>
      <c r="H108" s="93" t="s">
        <v>151</v>
      </c>
      <c r="I108" s="93">
        <f t="shared" si="16"/>
        <v>14.39</v>
      </c>
      <c r="J108" s="93">
        <f t="shared" si="17"/>
        <v>172.68</v>
      </c>
    </row>
    <row r="109" spans="2:10">
      <c r="B109" s="397" t="s">
        <v>1369</v>
      </c>
      <c r="C109" s="92" t="s">
        <v>152</v>
      </c>
      <c r="D109" s="91" t="s">
        <v>153</v>
      </c>
      <c r="E109" s="92" t="s">
        <v>27</v>
      </c>
      <c r="F109" s="92" t="s">
        <v>97</v>
      </c>
      <c r="G109" s="93">
        <v>36</v>
      </c>
      <c r="H109" s="93" t="s">
        <v>154</v>
      </c>
      <c r="I109" s="93">
        <f t="shared" si="16"/>
        <v>17.809999999999999</v>
      </c>
      <c r="J109" s="93">
        <f t="shared" si="17"/>
        <v>641.16</v>
      </c>
    </row>
    <row r="110" spans="2:10">
      <c r="B110" s="397" t="s">
        <v>1370</v>
      </c>
      <c r="C110" s="92" t="s">
        <v>155</v>
      </c>
      <c r="D110" s="91" t="s">
        <v>156</v>
      </c>
      <c r="E110" s="92" t="s">
        <v>27</v>
      </c>
      <c r="F110" s="92" t="s">
        <v>97</v>
      </c>
      <c r="G110" s="93">
        <v>12</v>
      </c>
      <c r="H110" s="93" t="s">
        <v>157</v>
      </c>
      <c r="I110" s="93">
        <f t="shared" si="16"/>
        <v>27.3</v>
      </c>
      <c r="J110" s="93">
        <f t="shared" si="17"/>
        <v>327.60000000000002</v>
      </c>
    </row>
    <row r="111" spans="2:10" ht="38.25">
      <c r="B111" s="397" t="s">
        <v>1371</v>
      </c>
      <c r="C111" s="92">
        <v>89379</v>
      </c>
      <c r="D111" s="277" t="s">
        <v>935</v>
      </c>
      <c r="E111" s="92" t="s">
        <v>27</v>
      </c>
      <c r="F111" s="92" t="s">
        <v>33</v>
      </c>
      <c r="G111" s="93">
        <v>80</v>
      </c>
      <c r="H111" s="93">
        <v>13.41</v>
      </c>
      <c r="I111" s="93">
        <f t="shared" si="16"/>
        <v>17.190000000000001</v>
      </c>
      <c r="J111" s="93">
        <f t="shared" si="17"/>
        <v>1375.2</v>
      </c>
    </row>
    <row r="112" spans="2:10" ht="38.25">
      <c r="B112" s="397" t="s">
        <v>1372</v>
      </c>
      <c r="C112" s="92">
        <v>89387</v>
      </c>
      <c r="D112" s="277" t="s">
        <v>936</v>
      </c>
      <c r="E112" s="92" t="s">
        <v>27</v>
      </c>
      <c r="F112" s="92" t="s">
        <v>33</v>
      </c>
      <c r="G112" s="93">
        <v>30</v>
      </c>
      <c r="H112" s="93">
        <v>20.8</v>
      </c>
      <c r="I112" s="93">
        <f t="shared" si="16"/>
        <v>26.67</v>
      </c>
      <c r="J112" s="93">
        <f t="shared" si="17"/>
        <v>800.1</v>
      </c>
    </row>
    <row r="113" spans="2:10" ht="51">
      <c r="B113" s="397" t="s">
        <v>1373</v>
      </c>
      <c r="C113" s="92">
        <v>94661</v>
      </c>
      <c r="D113" s="277" t="s">
        <v>975</v>
      </c>
      <c r="E113" s="92" t="s">
        <v>27</v>
      </c>
      <c r="F113" s="92" t="s">
        <v>33</v>
      </c>
      <c r="G113" s="93">
        <v>5</v>
      </c>
      <c r="H113" s="93">
        <v>8.86</v>
      </c>
      <c r="I113" s="93">
        <f t="shared" si="16"/>
        <v>11.36</v>
      </c>
      <c r="J113" s="93">
        <f t="shared" si="17"/>
        <v>56.8</v>
      </c>
    </row>
    <row r="114" spans="2:10" ht="38.25">
      <c r="B114" s="397" t="s">
        <v>1374</v>
      </c>
      <c r="C114" s="304">
        <v>89557</v>
      </c>
      <c r="D114" s="277" t="s">
        <v>939</v>
      </c>
      <c r="E114" s="92" t="s">
        <v>27</v>
      </c>
      <c r="F114" s="92" t="s">
        <v>33</v>
      </c>
      <c r="G114" s="93">
        <v>15</v>
      </c>
      <c r="H114" s="93">
        <v>19.12</v>
      </c>
      <c r="I114" s="93">
        <f t="shared" si="16"/>
        <v>24.52</v>
      </c>
      <c r="J114" s="93">
        <f t="shared" si="17"/>
        <v>367.8</v>
      </c>
    </row>
    <row r="115" spans="2:10" ht="38.25">
      <c r="B115" s="397" t="s">
        <v>1375</v>
      </c>
      <c r="C115" s="92">
        <v>89598</v>
      </c>
      <c r="D115" s="277" t="s">
        <v>940</v>
      </c>
      <c r="E115" s="92" t="s">
        <v>27</v>
      </c>
      <c r="F115" s="92" t="s">
        <v>33</v>
      </c>
      <c r="G115" s="93">
        <v>5</v>
      </c>
      <c r="H115" s="93">
        <v>33.99</v>
      </c>
      <c r="I115" s="93">
        <f t="shared" si="16"/>
        <v>43.58</v>
      </c>
      <c r="J115" s="93">
        <f t="shared" si="17"/>
        <v>217.9</v>
      </c>
    </row>
    <row r="116" spans="2:10" ht="38.25">
      <c r="B116" s="397" t="s">
        <v>1376</v>
      </c>
      <c r="C116" s="92" t="s">
        <v>159</v>
      </c>
      <c r="D116" s="91" t="s">
        <v>160</v>
      </c>
      <c r="E116" s="92" t="s">
        <v>27</v>
      </c>
      <c r="F116" s="92" t="s">
        <v>33</v>
      </c>
      <c r="G116" s="93">
        <v>24</v>
      </c>
      <c r="H116" s="93" t="s">
        <v>161</v>
      </c>
      <c r="I116" s="93">
        <f t="shared" si="16"/>
        <v>10.26</v>
      </c>
      <c r="J116" s="93">
        <f t="shared" si="17"/>
        <v>246.24</v>
      </c>
    </row>
    <row r="117" spans="2:10" ht="38.25">
      <c r="B117" s="397" t="s">
        <v>1377</v>
      </c>
      <c r="C117" s="92" t="s">
        <v>162</v>
      </c>
      <c r="D117" s="91" t="s">
        <v>163</v>
      </c>
      <c r="E117" s="92" t="s">
        <v>27</v>
      </c>
      <c r="F117" s="92" t="s">
        <v>33</v>
      </c>
      <c r="G117" s="93">
        <v>14</v>
      </c>
      <c r="H117" s="93" t="s">
        <v>164</v>
      </c>
      <c r="I117" s="93">
        <f t="shared" si="16"/>
        <v>10.33</v>
      </c>
      <c r="J117" s="93">
        <f t="shared" si="17"/>
        <v>144.62</v>
      </c>
    </row>
    <row r="118" spans="2:10" ht="38.25">
      <c r="B118" s="397" t="s">
        <v>1378</v>
      </c>
      <c r="C118" s="92" t="s">
        <v>165</v>
      </c>
      <c r="D118" s="91" t="s">
        <v>166</v>
      </c>
      <c r="E118" s="92" t="s">
        <v>27</v>
      </c>
      <c r="F118" s="92" t="s">
        <v>33</v>
      </c>
      <c r="G118" s="93">
        <v>8</v>
      </c>
      <c r="H118" s="93" t="s">
        <v>167</v>
      </c>
      <c r="I118" s="93">
        <f t="shared" si="16"/>
        <v>19.12</v>
      </c>
      <c r="J118" s="93">
        <f t="shared" si="17"/>
        <v>152.96</v>
      </c>
    </row>
    <row r="119" spans="2:10" ht="38.25">
      <c r="B119" s="397" t="s">
        <v>1379</v>
      </c>
      <c r="C119" s="92" t="s">
        <v>168</v>
      </c>
      <c r="D119" s="91" t="s">
        <v>169</v>
      </c>
      <c r="E119" s="92" t="s">
        <v>27</v>
      </c>
      <c r="F119" s="92" t="s">
        <v>33</v>
      </c>
      <c r="G119" s="93">
        <v>4</v>
      </c>
      <c r="H119" s="93" t="s">
        <v>170</v>
      </c>
      <c r="I119" s="93">
        <f t="shared" si="16"/>
        <v>36.36</v>
      </c>
      <c r="J119" s="93">
        <f t="shared" si="17"/>
        <v>145.44</v>
      </c>
    </row>
    <row r="120" spans="2:10">
      <c r="B120" s="397" t="s">
        <v>1380</v>
      </c>
      <c r="C120" s="92" t="s">
        <v>171</v>
      </c>
      <c r="D120" s="91" t="s">
        <v>172</v>
      </c>
      <c r="E120" s="92" t="s">
        <v>27</v>
      </c>
      <c r="F120" s="92" t="s">
        <v>33</v>
      </c>
      <c r="G120" s="93">
        <v>32</v>
      </c>
      <c r="H120" s="93" t="s">
        <v>173</v>
      </c>
      <c r="I120" s="93">
        <f t="shared" si="16"/>
        <v>8.0500000000000007</v>
      </c>
      <c r="J120" s="93">
        <f t="shared" si="17"/>
        <v>257.60000000000002</v>
      </c>
    </row>
    <row r="121" spans="2:10">
      <c r="B121" s="397" t="s">
        <v>1381</v>
      </c>
      <c r="C121" s="92" t="s">
        <v>174</v>
      </c>
      <c r="D121" s="91" t="s">
        <v>175</v>
      </c>
      <c r="E121" s="92" t="s">
        <v>27</v>
      </c>
      <c r="F121" s="92" t="s">
        <v>33</v>
      </c>
      <c r="G121" s="93">
        <v>10</v>
      </c>
      <c r="H121" s="93" t="s">
        <v>176</v>
      </c>
      <c r="I121" s="93">
        <f t="shared" si="16"/>
        <v>10.73</v>
      </c>
      <c r="J121" s="93">
        <f t="shared" si="17"/>
        <v>107.3</v>
      </c>
    </row>
    <row r="122" spans="2:10" ht="25.5">
      <c r="B122" s="397" t="s">
        <v>1382</v>
      </c>
      <c r="C122" s="92" t="s">
        <v>177</v>
      </c>
      <c r="D122" s="91" t="s">
        <v>178</v>
      </c>
      <c r="E122" s="92" t="s">
        <v>27</v>
      </c>
      <c r="F122" s="92" t="s">
        <v>33</v>
      </c>
      <c r="G122" s="93">
        <v>40</v>
      </c>
      <c r="H122" s="93" t="s">
        <v>179</v>
      </c>
      <c r="I122" s="93">
        <f t="shared" si="16"/>
        <v>12.73</v>
      </c>
      <c r="J122" s="93">
        <f t="shared" si="17"/>
        <v>509.2</v>
      </c>
    </row>
    <row r="123" spans="2:10" ht="25.5">
      <c r="B123" s="397" t="s">
        <v>1383</v>
      </c>
      <c r="C123" s="92">
        <v>89408</v>
      </c>
      <c r="D123" s="91" t="s">
        <v>180</v>
      </c>
      <c r="E123" s="92" t="s">
        <v>27</v>
      </c>
      <c r="F123" s="92" t="s">
        <v>33</v>
      </c>
      <c r="G123" s="93">
        <v>2</v>
      </c>
      <c r="H123" s="93">
        <v>4.3</v>
      </c>
      <c r="I123" s="93">
        <f t="shared" si="16"/>
        <v>5.51</v>
      </c>
      <c r="J123" s="93">
        <f t="shared" si="17"/>
        <v>11.02</v>
      </c>
    </row>
    <row r="124" spans="2:10" ht="38.25">
      <c r="B124" s="397" t="s">
        <v>1384</v>
      </c>
      <c r="C124" s="92" t="s">
        <v>181</v>
      </c>
      <c r="D124" s="91" t="s">
        <v>182</v>
      </c>
      <c r="E124" s="92" t="s">
        <v>27</v>
      </c>
      <c r="F124" s="92" t="s">
        <v>33</v>
      </c>
      <c r="G124" s="93">
        <v>4</v>
      </c>
      <c r="H124" s="93" t="s">
        <v>183</v>
      </c>
      <c r="I124" s="93">
        <f t="shared" si="16"/>
        <v>4.3600000000000003</v>
      </c>
      <c r="J124" s="93">
        <f t="shared" si="17"/>
        <v>17.440000000000001</v>
      </c>
    </row>
    <row r="125" spans="2:10" ht="38.25">
      <c r="B125" s="397" t="s">
        <v>1385</v>
      </c>
      <c r="C125" s="92" t="s">
        <v>184</v>
      </c>
      <c r="D125" s="91" t="s">
        <v>185</v>
      </c>
      <c r="E125" s="92" t="s">
        <v>27</v>
      </c>
      <c r="F125" s="92" t="s">
        <v>33</v>
      </c>
      <c r="G125" s="93">
        <v>12</v>
      </c>
      <c r="H125" s="93" t="s">
        <v>186</v>
      </c>
      <c r="I125" s="93">
        <f t="shared" si="16"/>
        <v>6.06</v>
      </c>
      <c r="J125" s="93">
        <f t="shared" si="17"/>
        <v>72.72</v>
      </c>
    </row>
    <row r="126" spans="2:10">
      <c r="B126" s="397" t="s">
        <v>1386</v>
      </c>
      <c r="C126" s="92">
        <v>94661</v>
      </c>
      <c r="D126" s="91" t="s">
        <v>158</v>
      </c>
      <c r="E126" s="92" t="s">
        <v>27</v>
      </c>
      <c r="F126" s="92" t="s">
        <v>33</v>
      </c>
      <c r="G126" s="93">
        <v>2</v>
      </c>
      <c r="H126" s="93">
        <v>8.86</v>
      </c>
      <c r="I126" s="93">
        <f t="shared" si="16"/>
        <v>11.36</v>
      </c>
      <c r="J126" s="93">
        <f t="shared" si="17"/>
        <v>22.72</v>
      </c>
    </row>
    <row r="127" spans="2:10" ht="38.25">
      <c r="B127" s="397" t="s">
        <v>1387</v>
      </c>
      <c r="C127" s="92" t="s">
        <v>187</v>
      </c>
      <c r="D127" s="91" t="s">
        <v>188</v>
      </c>
      <c r="E127" s="92" t="s">
        <v>27</v>
      </c>
      <c r="F127" s="92" t="s">
        <v>33</v>
      </c>
      <c r="G127" s="93">
        <v>4</v>
      </c>
      <c r="H127" s="93" t="s">
        <v>189</v>
      </c>
      <c r="I127" s="93">
        <f t="shared" si="16"/>
        <v>8.1</v>
      </c>
      <c r="J127" s="93">
        <f t="shared" si="17"/>
        <v>32.4</v>
      </c>
    </row>
    <row r="128" spans="2:10" ht="38.25">
      <c r="B128" s="397" t="s">
        <v>1388</v>
      </c>
      <c r="C128" s="92" t="s">
        <v>190</v>
      </c>
      <c r="D128" s="91" t="s">
        <v>191</v>
      </c>
      <c r="E128" s="92" t="s">
        <v>27</v>
      </c>
      <c r="F128" s="92" t="s">
        <v>33</v>
      </c>
      <c r="G128" s="93">
        <v>2</v>
      </c>
      <c r="H128" s="93" t="s">
        <v>192</v>
      </c>
      <c r="I128" s="93">
        <f t="shared" si="16"/>
        <v>10.07</v>
      </c>
      <c r="J128" s="93">
        <f t="shared" si="17"/>
        <v>20.14</v>
      </c>
    </row>
    <row r="129" spans="2:10" ht="38.25">
      <c r="B129" s="397" t="s">
        <v>1389</v>
      </c>
      <c r="C129" s="92" t="s">
        <v>190</v>
      </c>
      <c r="D129" s="91" t="s">
        <v>193</v>
      </c>
      <c r="E129" s="92" t="s">
        <v>27</v>
      </c>
      <c r="F129" s="92" t="s">
        <v>33</v>
      </c>
      <c r="G129" s="93">
        <v>2</v>
      </c>
      <c r="H129" s="93" t="s">
        <v>192</v>
      </c>
      <c r="I129" s="93">
        <f t="shared" si="16"/>
        <v>10.07</v>
      </c>
      <c r="J129" s="93">
        <f t="shared" si="17"/>
        <v>20.14</v>
      </c>
    </row>
    <row r="130" spans="2:10" ht="38.25">
      <c r="B130" s="397" t="s">
        <v>1390</v>
      </c>
      <c r="C130" s="92" t="s">
        <v>194</v>
      </c>
      <c r="D130" s="91" t="s">
        <v>195</v>
      </c>
      <c r="E130" s="92" t="s">
        <v>27</v>
      </c>
      <c r="F130" s="92" t="s">
        <v>33</v>
      </c>
      <c r="G130" s="93">
        <v>1</v>
      </c>
      <c r="H130" s="93" t="s">
        <v>196</v>
      </c>
      <c r="I130" s="93">
        <f t="shared" si="16"/>
        <v>17.48</v>
      </c>
      <c r="J130" s="93">
        <f t="shared" si="17"/>
        <v>17.48</v>
      </c>
    </row>
    <row r="131" spans="2:10" ht="50.25" customHeight="1">
      <c r="B131" s="397" t="s">
        <v>1391</v>
      </c>
      <c r="C131" s="92" t="s">
        <v>194</v>
      </c>
      <c r="D131" s="91" t="s">
        <v>197</v>
      </c>
      <c r="E131" s="92" t="s">
        <v>27</v>
      </c>
      <c r="F131" s="92" t="s">
        <v>33</v>
      </c>
      <c r="G131" s="93">
        <v>1</v>
      </c>
      <c r="H131" s="93" t="s">
        <v>196</v>
      </c>
      <c r="I131" s="93">
        <f t="shared" si="16"/>
        <v>17.48</v>
      </c>
      <c r="J131" s="93">
        <f t="shared" si="17"/>
        <v>17.48</v>
      </c>
    </row>
    <row r="132" spans="2:10">
      <c r="B132" s="397" t="s">
        <v>1392</v>
      </c>
      <c r="C132" s="92" t="s">
        <v>198</v>
      </c>
      <c r="D132" s="91" t="s">
        <v>199</v>
      </c>
      <c r="E132" s="92" t="s">
        <v>27</v>
      </c>
      <c r="F132" s="92" t="s">
        <v>33</v>
      </c>
      <c r="G132" s="93">
        <v>15</v>
      </c>
      <c r="H132" s="93" t="s">
        <v>200</v>
      </c>
      <c r="I132" s="93">
        <f t="shared" si="16"/>
        <v>11.21</v>
      </c>
      <c r="J132" s="93">
        <f t="shared" si="17"/>
        <v>168.15</v>
      </c>
    </row>
    <row r="133" spans="2:10">
      <c r="B133" s="397" t="s">
        <v>1393</v>
      </c>
      <c r="C133" s="92" t="s">
        <v>201</v>
      </c>
      <c r="D133" s="91" t="s">
        <v>202</v>
      </c>
      <c r="E133" s="92" t="s">
        <v>27</v>
      </c>
      <c r="F133" s="92" t="s">
        <v>33</v>
      </c>
      <c r="G133" s="93">
        <v>12</v>
      </c>
      <c r="H133" s="93" t="s">
        <v>203</v>
      </c>
      <c r="I133" s="93">
        <f t="shared" si="16"/>
        <v>11.09</v>
      </c>
      <c r="J133" s="93">
        <f t="shared" si="17"/>
        <v>133.08000000000001</v>
      </c>
    </row>
    <row r="134" spans="2:10" ht="25.5">
      <c r="B134" s="397" t="s">
        <v>1394</v>
      </c>
      <c r="C134" s="92" t="s">
        <v>204</v>
      </c>
      <c r="D134" s="91" t="s">
        <v>205</v>
      </c>
      <c r="E134" s="92" t="s">
        <v>27</v>
      </c>
      <c r="F134" s="92" t="s">
        <v>33</v>
      </c>
      <c r="G134" s="93">
        <v>2</v>
      </c>
      <c r="H134" s="93" t="s">
        <v>206</v>
      </c>
      <c r="I134" s="93">
        <f t="shared" si="16"/>
        <v>15.26</v>
      </c>
      <c r="J134" s="93">
        <f t="shared" si="17"/>
        <v>30.52</v>
      </c>
    </row>
    <row r="135" spans="2:10">
      <c r="B135" s="397" t="s">
        <v>1395</v>
      </c>
      <c r="C135" s="92" t="s">
        <v>207</v>
      </c>
      <c r="D135" s="91" t="s">
        <v>208</v>
      </c>
      <c r="E135" s="92" t="s">
        <v>27</v>
      </c>
      <c r="F135" s="92" t="s">
        <v>33</v>
      </c>
      <c r="G135" s="93">
        <v>5</v>
      </c>
      <c r="H135" s="93" t="s">
        <v>209</v>
      </c>
      <c r="I135" s="93">
        <f t="shared" si="16"/>
        <v>18.68</v>
      </c>
      <c r="J135" s="93">
        <f t="shared" si="17"/>
        <v>93.4</v>
      </c>
    </row>
    <row r="136" spans="2:10">
      <c r="B136" s="397" t="s">
        <v>1396</v>
      </c>
      <c r="C136" s="92" t="s">
        <v>210</v>
      </c>
      <c r="D136" s="91" t="s">
        <v>211</v>
      </c>
      <c r="E136" s="92" t="s">
        <v>27</v>
      </c>
      <c r="F136" s="92" t="s">
        <v>33</v>
      </c>
      <c r="G136" s="93">
        <v>4</v>
      </c>
      <c r="H136" s="93" t="s">
        <v>212</v>
      </c>
      <c r="I136" s="93">
        <f t="shared" si="16"/>
        <v>37.21</v>
      </c>
      <c r="J136" s="93">
        <f t="shared" si="17"/>
        <v>148.84</v>
      </c>
    </row>
    <row r="137" spans="2:10" ht="12.75" customHeight="1">
      <c r="B137" s="397" t="s">
        <v>1397</v>
      </c>
      <c r="C137" s="618" t="s">
        <v>213</v>
      </c>
      <c r="D137" s="622"/>
      <c r="E137" s="79" t="s">
        <v>18</v>
      </c>
      <c r="F137" s="94"/>
      <c r="G137" s="94"/>
      <c r="H137" s="93"/>
      <c r="I137" s="212"/>
      <c r="J137" s="213">
        <f>SUM(J138:J145)</f>
        <v>2963.04</v>
      </c>
    </row>
    <row r="138" spans="2:10" ht="38.25">
      <c r="B138" s="397" t="s">
        <v>1398</v>
      </c>
      <c r="C138" s="100" t="s">
        <v>909</v>
      </c>
      <c r="D138" s="91" t="s">
        <v>214</v>
      </c>
      <c r="E138" s="92" t="s">
        <v>27</v>
      </c>
      <c r="F138" s="92" t="s">
        <v>33</v>
      </c>
      <c r="G138" s="93">
        <v>1</v>
      </c>
      <c r="H138" s="93">
        <v>82.33</v>
      </c>
      <c r="I138" s="93">
        <f t="shared" ref="I138:I145" si="18">ROUND($H138*(1+$G$14),2)</f>
        <v>105.56</v>
      </c>
      <c r="J138" s="93">
        <f t="shared" ref="J138:J145" si="19">ROUND(G138*I138,2)</f>
        <v>105.56</v>
      </c>
    </row>
    <row r="139" spans="2:10" ht="38.25">
      <c r="B139" s="397" t="s">
        <v>1399</v>
      </c>
      <c r="C139" s="100" t="s">
        <v>908</v>
      </c>
      <c r="D139" s="91" t="s">
        <v>215</v>
      </c>
      <c r="E139" s="92" t="s">
        <v>27</v>
      </c>
      <c r="F139" s="92" t="s">
        <v>33</v>
      </c>
      <c r="G139" s="93">
        <v>1</v>
      </c>
      <c r="H139" s="93">
        <v>170.47</v>
      </c>
      <c r="I139" s="93">
        <f t="shared" si="18"/>
        <v>218.58</v>
      </c>
      <c r="J139" s="93">
        <f t="shared" si="19"/>
        <v>218.58</v>
      </c>
    </row>
    <row r="140" spans="2:10">
      <c r="B140" s="397" t="s">
        <v>1400</v>
      </c>
      <c r="C140" s="92" t="s">
        <v>216</v>
      </c>
      <c r="D140" s="91" t="s">
        <v>217</v>
      </c>
      <c r="E140" s="92" t="s">
        <v>27</v>
      </c>
      <c r="F140" s="92" t="s">
        <v>33</v>
      </c>
      <c r="G140" s="93">
        <v>4</v>
      </c>
      <c r="H140" s="93" t="s">
        <v>218</v>
      </c>
      <c r="I140" s="93">
        <f t="shared" si="18"/>
        <v>61.79</v>
      </c>
      <c r="J140" s="93">
        <f t="shared" si="19"/>
        <v>247.16</v>
      </c>
    </row>
    <row r="141" spans="2:10" ht="12.75" customHeight="1">
      <c r="B141" s="397" t="s">
        <v>1401</v>
      </c>
      <c r="C141" s="92" t="s">
        <v>219</v>
      </c>
      <c r="D141" s="91" t="s">
        <v>220</v>
      </c>
      <c r="E141" s="92" t="s">
        <v>27</v>
      </c>
      <c r="F141" s="92" t="s">
        <v>33</v>
      </c>
      <c r="G141" s="93">
        <v>10</v>
      </c>
      <c r="H141" s="93" t="s">
        <v>221</v>
      </c>
      <c r="I141" s="93">
        <f t="shared" si="18"/>
        <v>83.19</v>
      </c>
      <c r="J141" s="93">
        <f t="shared" si="19"/>
        <v>831.9</v>
      </c>
    </row>
    <row r="142" spans="2:10" ht="51">
      <c r="B142" s="397" t="s">
        <v>1402</v>
      </c>
      <c r="C142" s="92" t="s">
        <v>222</v>
      </c>
      <c r="D142" s="91" t="s">
        <v>223</v>
      </c>
      <c r="E142" s="92" t="s">
        <v>27</v>
      </c>
      <c r="F142" s="92" t="s">
        <v>33</v>
      </c>
      <c r="G142" s="93">
        <v>10</v>
      </c>
      <c r="H142" s="93" t="s">
        <v>224</v>
      </c>
      <c r="I142" s="93">
        <f t="shared" si="18"/>
        <v>78.83</v>
      </c>
      <c r="J142" s="93">
        <f t="shared" si="19"/>
        <v>788.3</v>
      </c>
    </row>
    <row r="143" spans="2:10" ht="63.75">
      <c r="B143" s="397" t="s">
        <v>1403</v>
      </c>
      <c r="C143" s="92" t="s">
        <v>225</v>
      </c>
      <c r="D143" s="91" t="s">
        <v>226</v>
      </c>
      <c r="E143" s="92" t="s">
        <v>27</v>
      </c>
      <c r="F143" s="92" t="s">
        <v>33</v>
      </c>
      <c r="G143" s="93">
        <v>2</v>
      </c>
      <c r="H143" s="93" t="s">
        <v>227</v>
      </c>
      <c r="I143" s="93">
        <f t="shared" si="18"/>
        <v>160.97</v>
      </c>
      <c r="J143" s="93">
        <f t="shared" si="19"/>
        <v>321.94</v>
      </c>
    </row>
    <row r="144" spans="2:10">
      <c r="B144" s="397" t="s">
        <v>1404</v>
      </c>
      <c r="C144" s="92" t="s">
        <v>228</v>
      </c>
      <c r="D144" s="91" t="s">
        <v>229</v>
      </c>
      <c r="E144" s="92" t="s">
        <v>27</v>
      </c>
      <c r="F144" s="92" t="s">
        <v>33</v>
      </c>
      <c r="G144" s="93">
        <v>2</v>
      </c>
      <c r="H144" s="93" t="s">
        <v>230</v>
      </c>
      <c r="I144" s="93">
        <f t="shared" si="18"/>
        <v>145.97</v>
      </c>
      <c r="J144" s="93">
        <f t="shared" si="19"/>
        <v>291.94</v>
      </c>
    </row>
    <row r="145" spans="2:10" ht="51">
      <c r="B145" s="397" t="s">
        <v>1405</v>
      </c>
      <c r="C145" s="92">
        <v>94495</v>
      </c>
      <c r="D145" s="277" t="s">
        <v>974</v>
      </c>
      <c r="E145" s="92" t="s">
        <v>27</v>
      </c>
      <c r="F145" s="92" t="s">
        <v>33</v>
      </c>
      <c r="G145" s="93">
        <v>2</v>
      </c>
      <c r="H145" s="93">
        <v>61.48</v>
      </c>
      <c r="I145" s="93">
        <f t="shared" si="18"/>
        <v>78.83</v>
      </c>
      <c r="J145" s="93">
        <f t="shared" si="19"/>
        <v>157.66</v>
      </c>
    </row>
    <row r="146" spans="2:10" ht="12.75" customHeight="1">
      <c r="B146" s="400" t="s">
        <v>1406</v>
      </c>
      <c r="C146" s="618" t="s">
        <v>231</v>
      </c>
      <c r="D146" s="619"/>
      <c r="E146" s="83" t="s">
        <v>18</v>
      </c>
      <c r="F146" s="96"/>
      <c r="G146" s="96"/>
      <c r="H146" s="93"/>
      <c r="I146" s="214"/>
      <c r="J146" s="213">
        <f>J147</f>
        <v>1704.54</v>
      </c>
    </row>
    <row r="147" spans="2:10" ht="25.5">
      <c r="B147" s="397" t="s">
        <v>1407</v>
      </c>
      <c r="C147" s="92">
        <v>88503</v>
      </c>
      <c r="D147" s="277" t="s">
        <v>934</v>
      </c>
      <c r="E147" s="92" t="s">
        <v>27</v>
      </c>
      <c r="F147" s="92" t="s">
        <v>33</v>
      </c>
      <c r="G147" s="93">
        <v>2</v>
      </c>
      <c r="H147" s="93">
        <v>664.69</v>
      </c>
      <c r="I147" s="93">
        <f>ROUND($H147*(1+$G$14),2)</f>
        <v>852.27</v>
      </c>
      <c r="J147" s="93">
        <f>ROUND(G147*I147,2)</f>
        <v>1704.54</v>
      </c>
    </row>
    <row r="148" spans="2:10" ht="12.75" customHeight="1">
      <c r="B148" s="398" t="s">
        <v>1408</v>
      </c>
      <c r="C148" s="620" t="s">
        <v>232</v>
      </c>
      <c r="D148" s="621"/>
      <c r="E148" s="81" t="s">
        <v>18</v>
      </c>
      <c r="F148" s="89"/>
      <c r="G148" s="89"/>
      <c r="H148" s="181"/>
      <c r="I148" s="87"/>
      <c r="J148" s="88">
        <f>SUM(J149:J157)</f>
        <v>10352.11</v>
      </c>
    </row>
    <row r="149" spans="2:10" ht="51">
      <c r="B149" s="397" t="s">
        <v>1409</v>
      </c>
      <c r="C149" s="92">
        <v>90710</v>
      </c>
      <c r="D149" s="277" t="s">
        <v>943</v>
      </c>
      <c r="E149" s="92" t="s">
        <v>27</v>
      </c>
      <c r="F149" s="92" t="s">
        <v>97</v>
      </c>
      <c r="G149" s="93">
        <v>66</v>
      </c>
      <c r="H149" s="93">
        <v>40.08</v>
      </c>
      <c r="I149" s="93">
        <f t="shared" ref="I149" si="20">ROUND($H149*(1+$G$14),2)</f>
        <v>51.39</v>
      </c>
      <c r="J149" s="93">
        <f t="shared" ref="J149:J157" si="21">ROUND(G149*I149,2)</f>
        <v>3391.74</v>
      </c>
    </row>
    <row r="150" spans="2:10" ht="25.5">
      <c r="B150" s="397" t="s">
        <v>1410</v>
      </c>
      <c r="C150" s="100" t="s">
        <v>917</v>
      </c>
      <c r="D150" s="91" t="s">
        <v>918</v>
      </c>
      <c r="E150" s="92" t="s">
        <v>27</v>
      </c>
      <c r="F150" s="92" t="s">
        <v>97</v>
      </c>
      <c r="G150" s="93">
        <v>50</v>
      </c>
      <c r="H150" s="93">
        <v>41.63</v>
      </c>
      <c r="I150" s="93">
        <f t="shared" ref="I150:I157" si="22">ROUND($H150*(1+$G$14),2)</f>
        <v>53.38</v>
      </c>
      <c r="J150" s="93">
        <f t="shared" si="21"/>
        <v>2669</v>
      </c>
    </row>
    <row r="151" spans="2:10" ht="51">
      <c r="B151" s="397" t="s">
        <v>1411</v>
      </c>
      <c r="C151" s="92" t="s">
        <v>944</v>
      </c>
      <c r="D151" s="91" t="s">
        <v>945</v>
      </c>
      <c r="E151" s="92" t="s">
        <v>27</v>
      </c>
      <c r="F151" s="92" t="s">
        <v>97</v>
      </c>
      <c r="G151" s="93">
        <v>21</v>
      </c>
      <c r="H151" s="93">
        <v>60.51</v>
      </c>
      <c r="I151" s="93">
        <f t="shared" si="22"/>
        <v>77.59</v>
      </c>
      <c r="J151" s="93">
        <f t="shared" si="21"/>
        <v>1629.39</v>
      </c>
    </row>
    <row r="152" spans="2:10" ht="38.25">
      <c r="B152" s="397" t="s">
        <v>1412</v>
      </c>
      <c r="C152" s="92" t="s">
        <v>941</v>
      </c>
      <c r="D152" s="91" t="s">
        <v>942</v>
      </c>
      <c r="E152" s="92" t="s">
        <v>27</v>
      </c>
      <c r="F152" s="92" t="s">
        <v>33</v>
      </c>
      <c r="G152" s="93">
        <v>7</v>
      </c>
      <c r="H152" s="93">
        <v>41.16</v>
      </c>
      <c r="I152" s="93">
        <f t="shared" si="22"/>
        <v>52.78</v>
      </c>
      <c r="J152" s="93">
        <f t="shared" si="21"/>
        <v>369.46</v>
      </c>
    </row>
    <row r="153" spans="2:10" ht="38.25">
      <c r="B153" s="397" t="s">
        <v>1413</v>
      </c>
      <c r="C153" s="92" t="s">
        <v>233</v>
      </c>
      <c r="D153" s="91" t="s">
        <v>234</v>
      </c>
      <c r="E153" s="92" t="s">
        <v>27</v>
      </c>
      <c r="F153" s="92" t="s">
        <v>33</v>
      </c>
      <c r="G153" s="93">
        <v>1</v>
      </c>
      <c r="H153" s="93" t="s">
        <v>235</v>
      </c>
      <c r="I153" s="93">
        <f t="shared" si="22"/>
        <v>11.33</v>
      </c>
      <c r="J153" s="93">
        <f t="shared" si="21"/>
        <v>11.33</v>
      </c>
    </row>
    <row r="154" spans="2:10" ht="38.25">
      <c r="B154" s="397" t="s">
        <v>1414</v>
      </c>
      <c r="C154" s="92" t="s">
        <v>937</v>
      </c>
      <c r="D154" s="297" t="s">
        <v>938</v>
      </c>
      <c r="E154" s="100" t="s">
        <v>1060</v>
      </c>
      <c r="F154" s="92" t="s">
        <v>236</v>
      </c>
      <c r="G154" s="93">
        <v>17</v>
      </c>
      <c r="H154" s="93">
        <v>7.88</v>
      </c>
      <c r="I154" s="93">
        <f t="shared" si="22"/>
        <v>10.1</v>
      </c>
      <c r="J154" s="93">
        <f t="shared" si="21"/>
        <v>171.7</v>
      </c>
    </row>
    <row r="155" spans="2:10">
      <c r="B155" s="397" t="s">
        <v>1415</v>
      </c>
      <c r="C155" s="92" t="s">
        <v>237</v>
      </c>
      <c r="D155" s="91" t="s">
        <v>238</v>
      </c>
      <c r="E155" s="92" t="s">
        <v>27</v>
      </c>
      <c r="F155" s="92" t="s">
        <v>97</v>
      </c>
      <c r="G155" s="93">
        <v>37.6</v>
      </c>
      <c r="H155" s="93" t="s">
        <v>239</v>
      </c>
      <c r="I155" s="93">
        <f t="shared" si="22"/>
        <v>51.56</v>
      </c>
      <c r="J155" s="93">
        <f t="shared" si="21"/>
        <v>1938.66</v>
      </c>
    </row>
    <row r="156" spans="2:10">
      <c r="B156" s="397" t="s">
        <v>1416</v>
      </c>
      <c r="C156" s="92" t="s">
        <v>240</v>
      </c>
      <c r="D156" s="91" t="s">
        <v>241</v>
      </c>
      <c r="E156" s="92" t="s">
        <v>27</v>
      </c>
      <c r="F156" s="92" t="s">
        <v>33</v>
      </c>
      <c r="G156" s="93">
        <v>3</v>
      </c>
      <c r="H156" s="93">
        <v>9.74</v>
      </c>
      <c r="I156" s="93">
        <f t="shared" si="22"/>
        <v>12.49</v>
      </c>
      <c r="J156" s="93">
        <f t="shared" si="21"/>
        <v>37.47</v>
      </c>
    </row>
    <row r="157" spans="2:10">
      <c r="B157" s="397" t="s">
        <v>1417</v>
      </c>
      <c r="C157" s="92" t="s">
        <v>242</v>
      </c>
      <c r="D157" s="91" t="s">
        <v>243</v>
      </c>
      <c r="E157" s="92" t="s">
        <v>27</v>
      </c>
      <c r="F157" s="92" t="s">
        <v>33</v>
      </c>
      <c r="G157" s="93">
        <v>8</v>
      </c>
      <c r="H157" s="93">
        <v>13</v>
      </c>
      <c r="I157" s="93">
        <f t="shared" si="22"/>
        <v>16.670000000000002</v>
      </c>
      <c r="J157" s="93">
        <f t="shared" si="21"/>
        <v>133.36000000000001</v>
      </c>
    </row>
    <row r="158" spans="2:10" ht="12.75" customHeight="1">
      <c r="B158" s="398" t="s">
        <v>1418</v>
      </c>
      <c r="C158" s="620" t="s">
        <v>244</v>
      </c>
      <c r="D158" s="621"/>
      <c r="E158" s="80" t="s">
        <v>18</v>
      </c>
      <c r="F158" s="89"/>
      <c r="G158" s="89"/>
      <c r="H158" s="181"/>
      <c r="I158" s="90"/>
      <c r="J158" s="88">
        <f>SUM(J159:J183)</f>
        <v>24521.52</v>
      </c>
    </row>
    <row r="159" spans="2:10">
      <c r="B159" s="397" t="s">
        <v>1419</v>
      </c>
      <c r="C159" s="92" t="s">
        <v>245</v>
      </c>
      <c r="D159" s="91" t="s">
        <v>246</v>
      </c>
      <c r="E159" s="92" t="s">
        <v>27</v>
      </c>
      <c r="F159" s="92" t="s">
        <v>97</v>
      </c>
      <c r="G159" s="93">
        <v>8.6</v>
      </c>
      <c r="H159" s="93" t="s">
        <v>247</v>
      </c>
      <c r="I159" s="93">
        <f t="shared" ref="I159:I183" si="23">ROUND($H159*(1+$G$14),2)</f>
        <v>17.87</v>
      </c>
      <c r="J159" s="93">
        <f t="shared" ref="J159:J183" si="24">ROUND(G159*I159,2)</f>
        <v>153.68</v>
      </c>
    </row>
    <row r="160" spans="2:10">
      <c r="B160" s="397" t="s">
        <v>1420</v>
      </c>
      <c r="C160" s="92" t="s">
        <v>248</v>
      </c>
      <c r="D160" s="91" t="s">
        <v>249</v>
      </c>
      <c r="E160" s="92" t="s">
        <v>27</v>
      </c>
      <c r="F160" s="92" t="s">
        <v>97</v>
      </c>
      <c r="G160" s="93">
        <v>35.9</v>
      </c>
      <c r="H160" s="93" t="s">
        <v>250</v>
      </c>
      <c r="I160" s="93">
        <f t="shared" si="23"/>
        <v>26.89</v>
      </c>
      <c r="J160" s="93">
        <f t="shared" si="24"/>
        <v>965.35</v>
      </c>
    </row>
    <row r="161" spans="2:10">
      <c r="B161" s="397" t="s">
        <v>1421</v>
      </c>
      <c r="C161" s="92" t="s">
        <v>251</v>
      </c>
      <c r="D161" s="91" t="s">
        <v>252</v>
      </c>
      <c r="E161" s="92" t="s">
        <v>27</v>
      </c>
      <c r="F161" s="92" t="s">
        <v>97</v>
      </c>
      <c r="G161" s="93">
        <v>18.3</v>
      </c>
      <c r="H161" s="93" t="s">
        <v>253</v>
      </c>
      <c r="I161" s="93">
        <f t="shared" si="23"/>
        <v>34.840000000000003</v>
      </c>
      <c r="J161" s="93">
        <f t="shared" si="24"/>
        <v>637.57000000000005</v>
      </c>
    </row>
    <row r="162" spans="2:10">
      <c r="B162" s="397" t="s">
        <v>1422</v>
      </c>
      <c r="C162" s="92" t="s">
        <v>254</v>
      </c>
      <c r="D162" s="91" t="s">
        <v>255</v>
      </c>
      <c r="E162" s="92" t="s">
        <v>27</v>
      </c>
      <c r="F162" s="92" t="s">
        <v>97</v>
      </c>
      <c r="G162" s="93">
        <v>89.3</v>
      </c>
      <c r="H162" s="93" t="s">
        <v>256</v>
      </c>
      <c r="I162" s="93">
        <f t="shared" si="23"/>
        <v>51.63</v>
      </c>
      <c r="J162" s="93">
        <f t="shared" si="24"/>
        <v>4610.5600000000004</v>
      </c>
    </row>
    <row r="163" spans="2:10">
      <c r="B163" s="397" t="s">
        <v>1423</v>
      </c>
      <c r="C163" s="92" t="s">
        <v>257</v>
      </c>
      <c r="D163" s="91" t="s">
        <v>258</v>
      </c>
      <c r="E163" s="92" t="s">
        <v>27</v>
      </c>
      <c r="F163" s="92" t="s">
        <v>33</v>
      </c>
      <c r="G163" s="93">
        <v>9</v>
      </c>
      <c r="H163" s="93" t="s">
        <v>259</v>
      </c>
      <c r="I163" s="93">
        <f t="shared" si="23"/>
        <v>8.2200000000000006</v>
      </c>
      <c r="J163" s="93">
        <f t="shared" si="24"/>
        <v>73.98</v>
      </c>
    </row>
    <row r="164" spans="2:10">
      <c r="B164" s="397" t="s">
        <v>1424</v>
      </c>
      <c r="C164" s="92" t="s">
        <v>260</v>
      </c>
      <c r="D164" s="91" t="s">
        <v>261</v>
      </c>
      <c r="E164" s="92" t="s">
        <v>27</v>
      </c>
      <c r="F164" s="92" t="s">
        <v>33</v>
      </c>
      <c r="G164" s="93">
        <v>20</v>
      </c>
      <c r="H164" s="93" t="s">
        <v>262</v>
      </c>
      <c r="I164" s="93">
        <f t="shared" si="23"/>
        <v>8.2100000000000009</v>
      </c>
      <c r="J164" s="93">
        <f t="shared" si="24"/>
        <v>164.2</v>
      </c>
    </row>
    <row r="165" spans="2:10">
      <c r="B165" s="397" t="s">
        <v>1425</v>
      </c>
      <c r="C165" s="92" t="s">
        <v>263</v>
      </c>
      <c r="D165" s="91" t="s">
        <v>264</v>
      </c>
      <c r="E165" s="92" t="s">
        <v>27</v>
      </c>
      <c r="F165" s="92" t="s">
        <v>33</v>
      </c>
      <c r="G165" s="93">
        <v>20</v>
      </c>
      <c r="H165" s="93" t="s">
        <v>265</v>
      </c>
      <c r="I165" s="93">
        <f t="shared" si="23"/>
        <v>10.19</v>
      </c>
      <c r="J165" s="93">
        <f t="shared" si="24"/>
        <v>203.8</v>
      </c>
    </row>
    <row r="166" spans="2:10">
      <c r="B166" s="397" t="s">
        <v>1426</v>
      </c>
      <c r="C166" s="92" t="s">
        <v>266</v>
      </c>
      <c r="D166" s="91" t="s">
        <v>267</v>
      </c>
      <c r="E166" s="92" t="s">
        <v>27</v>
      </c>
      <c r="F166" s="92" t="s">
        <v>33</v>
      </c>
      <c r="G166" s="93">
        <v>15</v>
      </c>
      <c r="H166" s="93" t="s">
        <v>268</v>
      </c>
      <c r="I166" s="93">
        <f t="shared" si="23"/>
        <v>17.21</v>
      </c>
      <c r="J166" s="93">
        <f t="shared" si="24"/>
        <v>258.14999999999998</v>
      </c>
    </row>
    <row r="167" spans="2:10">
      <c r="B167" s="397" t="s">
        <v>1427</v>
      </c>
      <c r="C167" s="92" t="s">
        <v>269</v>
      </c>
      <c r="D167" s="91" t="s">
        <v>270</v>
      </c>
      <c r="E167" s="92" t="s">
        <v>27</v>
      </c>
      <c r="F167" s="92" t="s">
        <v>33</v>
      </c>
      <c r="G167" s="93">
        <v>17</v>
      </c>
      <c r="H167" s="93" t="s">
        <v>271</v>
      </c>
      <c r="I167" s="93">
        <f t="shared" si="23"/>
        <v>21.53</v>
      </c>
      <c r="J167" s="93">
        <f t="shared" si="24"/>
        <v>366.01</v>
      </c>
    </row>
    <row r="168" spans="2:10">
      <c r="B168" s="397" t="s">
        <v>1428</v>
      </c>
      <c r="C168" s="92" t="s">
        <v>272</v>
      </c>
      <c r="D168" s="91" t="s">
        <v>273</v>
      </c>
      <c r="E168" s="92" t="s">
        <v>27</v>
      </c>
      <c r="F168" s="92" t="s">
        <v>33</v>
      </c>
      <c r="G168" s="93">
        <v>20</v>
      </c>
      <c r="H168" s="93" t="s">
        <v>274</v>
      </c>
      <c r="I168" s="93">
        <f t="shared" si="23"/>
        <v>7.3</v>
      </c>
      <c r="J168" s="93">
        <f t="shared" si="24"/>
        <v>146</v>
      </c>
    </row>
    <row r="169" spans="2:10">
      <c r="B169" s="397" t="s">
        <v>1429</v>
      </c>
      <c r="C169" s="92" t="s">
        <v>275</v>
      </c>
      <c r="D169" s="91" t="s">
        <v>276</v>
      </c>
      <c r="E169" s="92" t="s">
        <v>27</v>
      </c>
      <c r="F169" s="92" t="s">
        <v>33</v>
      </c>
      <c r="G169" s="93">
        <v>8</v>
      </c>
      <c r="H169" s="93" t="s">
        <v>277</v>
      </c>
      <c r="I169" s="93">
        <f t="shared" si="23"/>
        <v>9.5399999999999991</v>
      </c>
      <c r="J169" s="93">
        <f t="shared" si="24"/>
        <v>76.319999999999993</v>
      </c>
    </row>
    <row r="170" spans="2:10">
      <c r="B170" s="397" t="s">
        <v>1430</v>
      </c>
      <c r="C170" s="92" t="s">
        <v>278</v>
      </c>
      <c r="D170" s="91" t="s">
        <v>279</v>
      </c>
      <c r="E170" s="92" t="s">
        <v>27</v>
      </c>
      <c r="F170" s="92" t="s">
        <v>33</v>
      </c>
      <c r="G170" s="93">
        <v>9</v>
      </c>
      <c r="H170" s="93" t="s">
        <v>280</v>
      </c>
      <c r="I170" s="93">
        <f t="shared" si="23"/>
        <v>25.84</v>
      </c>
      <c r="J170" s="93">
        <f t="shared" si="24"/>
        <v>232.56</v>
      </c>
    </row>
    <row r="171" spans="2:10">
      <c r="B171" s="397" t="s">
        <v>1431</v>
      </c>
      <c r="C171" s="92" t="s">
        <v>281</v>
      </c>
      <c r="D171" s="91" t="s">
        <v>282</v>
      </c>
      <c r="E171" s="92" t="s">
        <v>27</v>
      </c>
      <c r="F171" s="92" t="s">
        <v>33</v>
      </c>
      <c r="G171" s="93">
        <v>8</v>
      </c>
      <c r="H171" s="93" t="s">
        <v>283</v>
      </c>
      <c r="I171" s="93">
        <f t="shared" si="23"/>
        <v>60.05</v>
      </c>
      <c r="J171" s="93">
        <f t="shared" si="24"/>
        <v>480.4</v>
      </c>
    </row>
    <row r="172" spans="2:10">
      <c r="B172" s="397" t="s">
        <v>1432</v>
      </c>
      <c r="C172" s="92" t="s">
        <v>284</v>
      </c>
      <c r="D172" s="91" t="s">
        <v>285</v>
      </c>
      <c r="E172" s="92" t="s">
        <v>27</v>
      </c>
      <c r="F172" s="92" t="s">
        <v>33</v>
      </c>
      <c r="G172" s="93">
        <v>9</v>
      </c>
      <c r="H172" s="93" t="s">
        <v>286</v>
      </c>
      <c r="I172" s="93">
        <f t="shared" si="23"/>
        <v>69.23</v>
      </c>
      <c r="J172" s="93">
        <f t="shared" si="24"/>
        <v>623.07000000000005</v>
      </c>
    </row>
    <row r="173" spans="2:10">
      <c r="B173" s="397" t="s">
        <v>1433</v>
      </c>
      <c r="C173" s="92" t="s">
        <v>284</v>
      </c>
      <c r="D173" s="91" t="s">
        <v>287</v>
      </c>
      <c r="E173" s="92" t="s">
        <v>27</v>
      </c>
      <c r="F173" s="92" t="s">
        <v>33</v>
      </c>
      <c r="G173" s="93">
        <v>12</v>
      </c>
      <c r="H173" s="93" t="s">
        <v>286</v>
      </c>
      <c r="I173" s="93">
        <f t="shared" si="23"/>
        <v>69.23</v>
      </c>
      <c r="J173" s="93">
        <f t="shared" si="24"/>
        <v>830.76</v>
      </c>
    </row>
    <row r="174" spans="2:10">
      <c r="B174" s="397" t="s">
        <v>1434</v>
      </c>
      <c r="C174" s="92" t="s">
        <v>288</v>
      </c>
      <c r="D174" s="91" t="s">
        <v>289</v>
      </c>
      <c r="E174" s="92" t="s">
        <v>27</v>
      </c>
      <c r="F174" s="92" t="s">
        <v>33</v>
      </c>
      <c r="G174" s="93">
        <v>10</v>
      </c>
      <c r="H174" s="93" t="s">
        <v>290</v>
      </c>
      <c r="I174" s="93">
        <f t="shared" si="23"/>
        <v>45.29</v>
      </c>
      <c r="J174" s="93">
        <f t="shared" si="24"/>
        <v>452.9</v>
      </c>
    </row>
    <row r="175" spans="2:10">
      <c r="B175" s="397" t="s">
        <v>1435</v>
      </c>
      <c r="C175" s="92" t="s">
        <v>291</v>
      </c>
      <c r="D175" s="91" t="s">
        <v>292</v>
      </c>
      <c r="E175" s="92" t="s">
        <v>27</v>
      </c>
      <c r="F175" s="92" t="s">
        <v>33</v>
      </c>
      <c r="G175" s="93">
        <v>15</v>
      </c>
      <c r="H175" s="93" t="s">
        <v>293</v>
      </c>
      <c r="I175" s="93">
        <f t="shared" si="23"/>
        <v>69.290000000000006</v>
      </c>
      <c r="J175" s="93">
        <f t="shared" si="24"/>
        <v>1039.3499999999999</v>
      </c>
    </row>
    <row r="176" spans="2:10">
      <c r="B176" s="397" t="s">
        <v>1436</v>
      </c>
      <c r="C176" s="92" t="s">
        <v>294</v>
      </c>
      <c r="D176" s="91" t="s">
        <v>295</v>
      </c>
      <c r="E176" s="92" t="s">
        <v>27</v>
      </c>
      <c r="F176" s="92" t="s">
        <v>33</v>
      </c>
      <c r="G176" s="93">
        <v>11</v>
      </c>
      <c r="H176" s="93" t="s">
        <v>296</v>
      </c>
      <c r="I176" s="93">
        <f t="shared" si="23"/>
        <v>21.45</v>
      </c>
      <c r="J176" s="93">
        <f t="shared" si="24"/>
        <v>235.95</v>
      </c>
    </row>
    <row r="177" spans="2:10" ht="38.25">
      <c r="B177" s="397" t="s">
        <v>1437</v>
      </c>
      <c r="C177" s="92" t="s">
        <v>297</v>
      </c>
      <c r="D177" s="91" t="s">
        <v>298</v>
      </c>
      <c r="E177" s="92" t="s">
        <v>27</v>
      </c>
      <c r="F177" s="92" t="s">
        <v>97</v>
      </c>
      <c r="G177" s="93">
        <v>15</v>
      </c>
      <c r="H177" s="93" t="s">
        <v>299</v>
      </c>
      <c r="I177" s="93">
        <f t="shared" si="23"/>
        <v>27.71</v>
      </c>
      <c r="J177" s="93">
        <f t="shared" si="24"/>
        <v>415.65</v>
      </c>
    </row>
    <row r="178" spans="2:10" ht="38.25">
      <c r="B178" s="397" t="s">
        <v>1438</v>
      </c>
      <c r="C178" s="92" t="s">
        <v>297</v>
      </c>
      <c r="D178" s="91" t="s">
        <v>300</v>
      </c>
      <c r="E178" s="92" t="s">
        <v>27</v>
      </c>
      <c r="F178" s="92" t="s">
        <v>97</v>
      </c>
      <c r="G178" s="93">
        <v>75</v>
      </c>
      <c r="H178" s="93" t="s">
        <v>299</v>
      </c>
      <c r="I178" s="93">
        <f t="shared" si="23"/>
        <v>27.71</v>
      </c>
      <c r="J178" s="93">
        <f t="shared" si="24"/>
        <v>2078.25</v>
      </c>
    </row>
    <row r="179" spans="2:10">
      <c r="B179" s="397" t="s">
        <v>1439</v>
      </c>
      <c r="C179" s="92" t="s">
        <v>301</v>
      </c>
      <c r="D179" s="91" t="s">
        <v>302</v>
      </c>
      <c r="E179" s="92" t="s">
        <v>27</v>
      </c>
      <c r="F179" s="92" t="s">
        <v>33</v>
      </c>
      <c r="G179" s="93">
        <v>11</v>
      </c>
      <c r="H179" s="93" t="s">
        <v>303</v>
      </c>
      <c r="I179" s="93">
        <f t="shared" si="23"/>
        <v>109.06</v>
      </c>
      <c r="J179" s="93">
        <f t="shared" si="24"/>
        <v>1199.6600000000001</v>
      </c>
    </row>
    <row r="180" spans="2:10">
      <c r="B180" s="397" t="s">
        <v>1440</v>
      </c>
      <c r="C180" s="92" t="s">
        <v>304</v>
      </c>
      <c r="D180" s="91" t="s">
        <v>305</v>
      </c>
      <c r="E180" s="92" t="s">
        <v>27</v>
      </c>
      <c r="F180" s="92" t="s">
        <v>33</v>
      </c>
      <c r="G180" s="93">
        <v>6</v>
      </c>
      <c r="H180" s="93" t="s">
        <v>306</v>
      </c>
      <c r="I180" s="93">
        <f t="shared" si="23"/>
        <v>37.35</v>
      </c>
      <c r="J180" s="93">
        <f t="shared" si="24"/>
        <v>224.1</v>
      </c>
    </row>
    <row r="181" spans="2:10" ht="25.5">
      <c r="B181" s="397" t="s">
        <v>1441</v>
      </c>
      <c r="C181" s="92">
        <v>21071</v>
      </c>
      <c r="D181" s="277" t="s">
        <v>1159</v>
      </c>
      <c r="E181" s="92" t="s">
        <v>27</v>
      </c>
      <c r="F181" s="92" t="s">
        <v>33</v>
      </c>
      <c r="G181" s="93">
        <v>15</v>
      </c>
      <c r="H181" s="93">
        <v>122.94</v>
      </c>
      <c r="I181" s="93">
        <f t="shared" si="23"/>
        <v>157.63</v>
      </c>
      <c r="J181" s="93">
        <f t="shared" si="24"/>
        <v>2364.4499999999998</v>
      </c>
    </row>
    <row r="182" spans="2:10">
      <c r="B182" s="397" t="s">
        <v>1442</v>
      </c>
      <c r="C182" s="100">
        <v>72289</v>
      </c>
      <c r="D182" s="277" t="s">
        <v>902</v>
      </c>
      <c r="E182" s="92" t="s">
        <v>27</v>
      </c>
      <c r="F182" s="92" t="s">
        <v>33</v>
      </c>
      <c r="G182" s="93">
        <v>12</v>
      </c>
      <c r="H182" s="93">
        <v>315.58999999999997</v>
      </c>
      <c r="I182" s="93">
        <f t="shared" si="23"/>
        <v>404.65</v>
      </c>
      <c r="J182" s="93">
        <f t="shared" si="24"/>
        <v>4855.8</v>
      </c>
    </row>
    <row r="183" spans="2:10" ht="63.75">
      <c r="B183" s="397" t="s">
        <v>1443</v>
      </c>
      <c r="C183" s="92" t="s">
        <v>307</v>
      </c>
      <c r="D183" s="91" t="s">
        <v>308</v>
      </c>
      <c r="E183" s="92" t="s">
        <v>27</v>
      </c>
      <c r="F183" s="92" t="s">
        <v>97</v>
      </c>
      <c r="G183" s="93">
        <v>50</v>
      </c>
      <c r="H183" s="93" t="s">
        <v>309</v>
      </c>
      <c r="I183" s="93">
        <f t="shared" si="23"/>
        <v>36.659999999999997</v>
      </c>
      <c r="J183" s="93">
        <f t="shared" si="24"/>
        <v>1833</v>
      </c>
    </row>
    <row r="184" spans="2:10" ht="12.75" customHeight="1">
      <c r="B184" s="398" t="s">
        <v>1444</v>
      </c>
      <c r="C184" s="620" t="s">
        <v>310</v>
      </c>
      <c r="D184" s="621"/>
      <c r="E184" s="80" t="s">
        <v>18</v>
      </c>
      <c r="F184" s="89"/>
      <c r="G184" s="89"/>
      <c r="H184" s="181"/>
      <c r="I184" s="90"/>
      <c r="J184" s="88">
        <f>J185+J187+J194+J201</f>
        <v>10385.009999999998</v>
      </c>
    </row>
    <row r="185" spans="2:10" ht="12.75" customHeight="1">
      <c r="B185" s="397" t="s">
        <v>1445</v>
      </c>
      <c r="C185" s="618" t="s">
        <v>311</v>
      </c>
      <c r="D185" s="622"/>
      <c r="E185" s="84" t="s">
        <v>18</v>
      </c>
      <c r="F185" s="94"/>
      <c r="G185" s="94"/>
      <c r="H185" s="93"/>
      <c r="I185" s="212"/>
      <c r="J185" s="213">
        <f>J186</f>
        <v>795.4</v>
      </c>
    </row>
    <row r="186" spans="2:10" ht="25.5">
      <c r="B186" s="397" t="s">
        <v>1446</v>
      </c>
      <c r="C186" s="92">
        <v>86889</v>
      </c>
      <c r="D186" s="277" t="s">
        <v>922</v>
      </c>
      <c r="E186" s="92" t="s">
        <v>27</v>
      </c>
      <c r="F186" s="100" t="s">
        <v>23</v>
      </c>
      <c r="G186" s="93">
        <v>2</v>
      </c>
      <c r="H186" s="93">
        <v>310.17</v>
      </c>
      <c r="I186" s="93">
        <f>ROUND($H186*(1+$G$14),2)</f>
        <v>397.7</v>
      </c>
      <c r="J186" s="93">
        <f>ROUND(G186*I186,2)</f>
        <v>795.4</v>
      </c>
    </row>
    <row r="187" spans="2:10">
      <c r="B187" s="400" t="s">
        <v>1447</v>
      </c>
      <c r="C187" s="618" t="s">
        <v>312</v>
      </c>
      <c r="D187" s="622"/>
      <c r="E187" s="84" t="s">
        <v>18</v>
      </c>
      <c r="F187" s="94"/>
      <c r="G187" s="94"/>
      <c r="H187" s="93"/>
      <c r="I187" s="212"/>
      <c r="J187" s="213">
        <f>SUM(J188:J193)</f>
        <v>5732.13</v>
      </c>
    </row>
    <row r="188" spans="2:10" ht="38.25">
      <c r="B188" s="397" t="s">
        <v>1448</v>
      </c>
      <c r="C188" s="92">
        <v>95471</v>
      </c>
      <c r="D188" s="91" t="s">
        <v>980</v>
      </c>
      <c r="E188" s="92" t="s">
        <v>27</v>
      </c>
      <c r="F188" s="92" t="s">
        <v>33</v>
      </c>
      <c r="G188" s="93">
        <f>'MEMORIA DE CALCULO AMPLIAÇÃO'!J399</f>
        <v>2</v>
      </c>
      <c r="H188" s="93">
        <v>557.37</v>
      </c>
      <c r="I188" s="93">
        <f t="shared" ref="I188:I193" si="25">ROUND($H188*(1+$G$14),2)</f>
        <v>714.66</v>
      </c>
      <c r="J188" s="93">
        <f t="shared" ref="J188:J193" si="26">ROUND(G188*I188,2)</f>
        <v>1429.32</v>
      </c>
    </row>
    <row r="189" spans="2:10" ht="51">
      <c r="B189" s="397" t="s">
        <v>1449</v>
      </c>
      <c r="C189" s="92">
        <v>95470</v>
      </c>
      <c r="D189" s="277" t="s">
        <v>979</v>
      </c>
      <c r="E189" s="92" t="s">
        <v>27</v>
      </c>
      <c r="F189" s="92" t="s">
        <v>33</v>
      </c>
      <c r="G189" s="93">
        <f>'MEMORIA DE CALCULO AMPLIAÇÃO'!J400</f>
        <v>4</v>
      </c>
      <c r="H189" s="93">
        <v>157.28</v>
      </c>
      <c r="I189" s="93">
        <f t="shared" si="25"/>
        <v>201.66</v>
      </c>
      <c r="J189" s="93">
        <f t="shared" si="26"/>
        <v>806.64</v>
      </c>
    </row>
    <row r="190" spans="2:10" ht="25.5">
      <c r="B190" s="397" t="s">
        <v>1450</v>
      </c>
      <c r="C190" s="92" t="s">
        <v>313</v>
      </c>
      <c r="D190" s="91" t="s">
        <v>314</v>
      </c>
      <c r="E190" s="92" t="s">
        <v>27</v>
      </c>
      <c r="F190" s="92" t="s">
        <v>33</v>
      </c>
      <c r="G190" s="93">
        <f>'MEMORIA DE CALCULO AMPLIAÇÃO'!J401</f>
        <v>6</v>
      </c>
      <c r="H190" s="93" t="s">
        <v>315</v>
      </c>
      <c r="I190" s="93">
        <f t="shared" si="25"/>
        <v>260.74</v>
      </c>
      <c r="J190" s="93">
        <f t="shared" si="26"/>
        <v>1564.44</v>
      </c>
    </row>
    <row r="191" spans="2:10" ht="51">
      <c r="B191" s="397" t="s">
        <v>1451</v>
      </c>
      <c r="C191" s="92" t="s">
        <v>316</v>
      </c>
      <c r="D191" s="91" t="s">
        <v>317</v>
      </c>
      <c r="E191" s="92" t="s">
        <v>27</v>
      </c>
      <c r="F191" s="92" t="s">
        <v>33</v>
      </c>
      <c r="G191" s="93">
        <f>'MEMORIA DE CALCULO AMPLIAÇÃO'!J402</f>
        <v>1</v>
      </c>
      <c r="H191" s="93" t="s">
        <v>318</v>
      </c>
      <c r="I191" s="93">
        <f t="shared" si="25"/>
        <v>417.01</v>
      </c>
      <c r="J191" s="93">
        <f t="shared" si="26"/>
        <v>417.01</v>
      </c>
    </row>
    <row r="192" spans="2:10" ht="38.25">
      <c r="B192" s="397" t="s">
        <v>1452</v>
      </c>
      <c r="C192" s="92" t="s">
        <v>319</v>
      </c>
      <c r="D192" s="91" t="s">
        <v>320</v>
      </c>
      <c r="E192" s="92" t="s">
        <v>27</v>
      </c>
      <c r="F192" s="92" t="s">
        <v>33</v>
      </c>
      <c r="G192" s="93">
        <f>'MEMORIA DE CALCULO AMPLIAÇÃO'!J403</f>
        <v>10</v>
      </c>
      <c r="H192" s="93" t="s">
        <v>321</v>
      </c>
      <c r="I192" s="93">
        <f t="shared" si="25"/>
        <v>127.32</v>
      </c>
      <c r="J192" s="93">
        <f t="shared" si="26"/>
        <v>1273.2</v>
      </c>
    </row>
    <row r="193" spans="2:10" ht="25.5">
      <c r="B193" s="397" t="s">
        <v>1453</v>
      </c>
      <c r="C193" s="92" t="s">
        <v>322</v>
      </c>
      <c r="D193" s="91" t="s">
        <v>323</v>
      </c>
      <c r="E193" s="92" t="s">
        <v>27</v>
      </c>
      <c r="F193" s="92" t="s">
        <v>33</v>
      </c>
      <c r="G193" s="93">
        <f>'MEMORIA DE CALCULO AMPLIAÇÃO'!J404</f>
        <v>2</v>
      </c>
      <c r="H193" s="93" t="s">
        <v>324</v>
      </c>
      <c r="I193" s="93">
        <f t="shared" si="25"/>
        <v>120.76</v>
      </c>
      <c r="J193" s="93">
        <f t="shared" si="26"/>
        <v>241.52</v>
      </c>
    </row>
    <row r="194" spans="2:10">
      <c r="B194" s="400" t="s">
        <v>1454</v>
      </c>
      <c r="C194" s="618" t="s">
        <v>325</v>
      </c>
      <c r="D194" s="622"/>
      <c r="E194" s="84" t="s">
        <v>18</v>
      </c>
      <c r="F194" s="94"/>
      <c r="G194" s="94"/>
      <c r="H194" s="93"/>
      <c r="I194" s="212"/>
      <c r="J194" s="213">
        <f>SUM(J195:J200)</f>
        <v>2225.3599999999997</v>
      </c>
    </row>
    <row r="195" spans="2:10" ht="38.25">
      <c r="B195" s="397" t="s">
        <v>1455</v>
      </c>
      <c r="C195" s="92" t="s">
        <v>326</v>
      </c>
      <c r="D195" s="91" t="s">
        <v>327</v>
      </c>
      <c r="E195" s="92" t="s">
        <v>27</v>
      </c>
      <c r="F195" s="92" t="s">
        <v>33</v>
      </c>
      <c r="G195" s="93">
        <f>'MEMORIA DE CALCULO AMPLIAÇÃO'!J406</f>
        <v>2</v>
      </c>
      <c r="H195" s="93" t="s">
        <v>328</v>
      </c>
      <c r="I195" s="93">
        <f t="shared" ref="I195:I200" si="27">ROUND($H195*(1+$G$14),2)</f>
        <v>73.16</v>
      </c>
      <c r="J195" s="93">
        <f t="shared" ref="J195:J200" si="28">ROUND(G195*I195,2)</f>
        <v>146.32</v>
      </c>
    </row>
    <row r="196" spans="2:10" s="305" customFormat="1" ht="25.5">
      <c r="B196" s="397" t="s">
        <v>1456</v>
      </c>
      <c r="C196" s="304" t="s">
        <v>329</v>
      </c>
      <c r="D196" s="297" t="s">
        <v>330</v>
      </c>
      <c r="E196" s="304" t="s">
        <v>27</v>
      </c>
      <c r="F196" s="304" t="s">
        <v>33</v>
      </c>
      <c r="G196" s="285">
        <f>'MEMORIA DE CALCULO AMPLIAÇÃO'!J407</f>
        <v>2</v>
      </c>
      <c r="H196" s="285">
        <v>394.45</v>
      </c>
      <c r="I196" s="285">
        <f t="shared" si="27"/>
        <v>505.76</v>
      </c>
      <c r="J196" s="285">
        <f t="shared" si="28"/>
        <v>1011.52</v>
      </c>
    </row>
    <row r="197" spans="2:10" ht="25.5">
      <c r="B197" s="397" t="s">
        <v>1457</v>
      </c>
      <c r="C197" s="92" t="s">
        <v>331</v>
      </c>
      <c r="D197" s="91" t="s">
        <v>332</v>
      </c>
      <c r="E197" s="92" t="s">
        <v>27</v>
      </c>
      <c r="F197" s="92" t="s">
        <v>33</v>
      </c>
      <c r="G197" s="93">
        <f>'MEMORIA DE CALCULO AMPLIAÇÃO'!J408</f>
        <v>2</v>
      </c>
      <c r="H197" s="93">
        <v>167.99</v>
      </c>
      <c r="I197" s="93">
        <f t="shared" si="27"/>
        <v>215.4</v>
      </c>
      <c r="J197" s="93">
        <f t="shared" si="28"/>
        <v>430.8</v>
      </c>
    </row>
    <row r="198" spans="2:10" ht="25.5">
      <c r="B198" s="397" t="s">
        <v>1458</v>
      </c>
      <c r="C198" s="92" t="s">
        <v>981</v>
      </c>
      <c r="D198" s="283" t="s">
        <v>1114</v>
      </c>
      <c r="E198" s="92" t="s">
        <v>27</v>
      </c>
      <c r="F198" s="92" t="s">
        <v>33</v>
      </c>
      <c r="G198" s="284">
        <f>'MEMORIA DE CALCULO AMPLIAÇÃO'!J409</f>
        <v>24</v>
      </c>
      <c r="H198" s="284">
        <v>3.22</v>
      </c>
      <c r="I198" s="284">
        <f t="shared" si="27"/>
        <v>4.13</v>
      </c>
      <c r="J198" s="284">
        <f t="shared" si="28"/>
        <v>99.12</v>
      </c>
    </row>
    <row r="199" spans="2:10" ht="25.5">
      <c r="B199" s="397" t="s">
        <v>1459</v>
      </c>
      <c r="C199" s="92" t="s">
        <v>333</v>
      </c>
      <c r="D199" s="277" t="s">
        <v>1113</v>
      </c>
      <c r="E199" s="92" t="s">
        <v>27</v>
      </c>
      <c r="F199" s="92" t="s">
        <v>33</v>
      </c>
      <c r="G199" s="93">
        <f>'MEMORIA DE CALCULO AMPLIAÇÃO'!J410</f>
        <v>1</v>
      </c>
      <c r="H199" s="93" t="s">
        <v>334</v>
      </c>
      <c r="I199" s="93">
        <f t="shared" si="27"/>
        <v>82.42</v>
      </c>
      <c r="J199" s="93">
        <f t="shared" si="28"/>
        <v>82.42</v>
      </c>
    </row>
    <row r="200" spans="2:10" ht="25.5">
      <c r="B200" s="397" t="s">
        <v>1460</v>
      </c>
      <c r="C200" s="92" t="s">
        <v>335</v>
      </c>
      <c r="D200" s="91" t="s">
        <v>336</v>
      </c>
      <c r="E200" s="92" t="s">
        <v>27</v>
      </c>
      <c r="F200" s="92" t="s">
        <v>33</v>
      </c>
      <c r="G200" s="93">
        <f>'MEMORIA DE CALCULO AMPLIAÇÃO'!J411</f>
        <v>11</v>
      </c>
      <c r="H200" s="93" t="s">
        <v>337</v>
      </c>
      <c r="I200" s="93">
        <f t="shared" si="27"/>
        <v>41.38</v>
      </c>
      <c r="J200" s="93">
        <f t="shared" si="28"/>
        <v>455.18</v>
      </c>
    </row>
    <row r="201" spans="2:10" ht="12.75" customHeight="1">
      <c r="B201" s="397" t="s">
        <v>1461</v>
      </c>
      <c r="C201" s="618" t="s">
        <v>231</v>
      </c>
      <c r="D201" s="622"/>
      <c r="E201" s="94"/>
      <c r="F201" s="94"/>
      <c r="G201" s="94"/>
      <c r="H201" s="93"/>
      <c r="I201" s="212"/>
      <c r="J201" s="213">
        <f>SUM(J202:J204)</f>
        <v>1632.12</v>
      </c>
    </row>
    <row r="202" spans="2:10" ht="25.5">
      <c r="B202" s="397" t="s">
        <v>1462</v>
      </c>
      <c r="C202" s="92">
        <v>95547</v>
      </c>
      <c r="D202" s="277" t="s">
        <v>1236</v>
      </c>
      <c r="E202" s="92" t="s">
        <v>27</v>
      </c>
      <c r="F202" s="92" t="s">
        <v>33</v>
      </c>
      <c r="G202" s="93">
        <f>'MEMORIA DE CALCULO AMPLIAÇÃO'!J413</f>
        <v>6</v>
      </c>
      <c r="H202" s="93">
        <v>45.46</v>
      </c>
      <c r="I202" s="93">
        <f>ROUND($H202*(1+$G$14),2)</f>
        <v>58.29</v>
      </c>
      <c r="J202" s="93">
        <f>ROUND(G202*I202,2)</f>
        <v>349.74</v>
      </c>
    </row>
    <row r="203" spans="2:10" ht="25.5">
      <c r="B203" s="397" t="s">
        <v>1463</v>
      </c>
      <c r="C203" s="92">
        <v>95547</v>
      </c>
      <c r="D203" s="277" t="s">
        <v>1237</v>
      </c>
      <c r="E203" s="92" t="s">
        <v>27</v>
      </c>
      <c r="F203" s="92" t="s">
        <v>33</v>
      </c>
      <c r="G203" s="93">
        <f>'MEMORIA DE CALCULO AMPLIAÇÃO'!J414</f>
        <v>12</v>
      </c>
      <c r="H203" s="93">
        <v>45.46</v>
      </c>
      <c r="I203" s="93">
        <f>ROUND($H203*(1+$G$14),2)</f>
        <v>58.29</v>
      </c>
      <c r="J203" s="93">
        <f>ROUND(G203*I203,2)</f>
        <v>699.48</v>
      </c>
    </row>
    <row r="204" spans="2:10" ht="38.25">
      <c r="B204" s="397" t="s">
        <v>1464</v>
      </c>
      <c r="C204" s="92" t="s">
        <v>338</v>
      </c>
      <c r="D204" s="91" t="s">
        <v>339</v>
      </c>
      <c r="E204" s="92" t="s">
        <v>27</v>
      </c>
      <c r="F204" s="92" t="s">
        <v>33</v>
      </c>
      <c r="G204" s="93">
        <f>'MEMORIA DE CALCULO AMPLIAÇÃO'!J415</f>
        <v>10</v>
      </c>
      <c r="H204" s="93">
        <v>45.46</v>
      </c>
      <c r="I204" s="93">
        <f>ROUND($H204*(1+$G$14),2)</f>
        <v>58.29</v>
      </c>
      <c r="J204" s="93">
        <f>ROUND(G204*I204,2)</f>
        <v>582.9</v>
      </c>
    </row>
    <row r="205" spans="2:10" ht="12.75" customHeight="1">
      <c r="B205" s="398" t="s">
        <v>1465</v>
      </c>
      <c r="C205" s="620" t="s">
        <v>340</v>
      </c>
      <c r="D205" s="621"/>
      <c r="E205" s="80" t="s">
        <v>18</v>
      </c>
      <c r="F205" s="89"/>
      <c r="G205" s="89"/>
      <c r="H205" s="181"/>
      <c r="I205" s="90"/>
      <c r="J205" s="88">
        <f>SUM(J206:J215)</f>
        <v>12773.1</v>
      </c>
    </row>
    <row r="206" spans="2:10" ht="51">
      <c r="B206" s="397" t="s">
        <v>1466</v>
      </c>
      <c r="C206" s="92" t="s">
        <v>341</v>
      </c>
      <c r="D206" s="91" t="s">
        <v>342</v>
      </c>
      <c r="E206" s="92" t="s">
        <v>27</v>
      </c>
      <c r="F206" s="92" t="s">
        <v>33</v>
      </c>
      <c r="G206" s="93">
        <v>1</v>
      </c>
      <c r="H206" s="93" t="s">
        <v>343</v>
      </c>
      <c r="I206" s="93">
        <f t="shared" ref="I206:I215" si="29">ROUND($H206*(1+$G$14),2)</f>
        <v>1225.74</v>
      </c>
      <c r="J206" s="93">
        <f t="shared" ref="J206:J215" si="30">ROUND(G206*I206,2)</f>
        <v>1225.74</v>
      </c>
    </row>
    <row r="207" spans="2:10" ht="63.75">
      <c r="B207" s="397" t="s">
        <v>1467</v>
      </c>
      <c r="C207" s="92">
        <v>761</v>
      </c>
      <c r="D207" s="277" t="s">
        <v>1133</v>
      </c>
      <c r="E207" s="92" t="s">
        <v>27</v>
      </c>
      <c r="F207" s="92" t="s">
        <v>33</v>
      </c>
      <c r="G207" s="93">
        <v>1</v>
      </c>
      <c r="H207" s="93">
        <v>4641.46</v>
      </c>
      <c r="I207" s="93">
        <f t="shared" si="29"/>
        <v>5951.28</v>
      </c>
      <c r="J207" s="93">
        <f t="shared" si="30"/>
        <v>5951.28</v>
      </c>
    </row>
    <row r="208" spans="2:10" ht="25.5">
      <c r="B208" s="397" t="s">
        <v>1468</v>
      </c>
      <c r="C208" s="92" t="s">
        <v>911</v>
      </c>
      <c r="D208" s="277" t="s">
        <v>912</v>
      </c>
      <c r="E208" s="92" t="s">
        <v>1060</v>
      </c>
      <c r="F208" s="92" t="s">
        <v>23</v>
      </c>
      <c r="G208" s="284">
        <v>1</v>
      </c>
      <c r="H208" s="284">
        <v>168.89</v>
      </c>
      <c r="I208" s="284">
        <f t="shared" si="29"/>
        <v>216.55</v>
      </c>
      <c r="J208" s="284">
        <f t="shared" si="30"/>
        <v>216.55</v>
      </c>
    </row>
    <row r="209" spans="2:10">
      <c r="B209" s="397" t="s">
        <v>1469</v>
      </c>
      <c r="C209" s="92" t="s">
        <v>344</v>
      </c>
      <c r="D209" s="91" t="s">
        <v>345</v>
      </c>
      <c r="E209" s="92" t="s">
        <v>27</v>
      </c>
      <c r="F209" s="92" t="s">
        <v>33</v>
      </c>
      <c r="G209" s="93">
        <v>4</v>
      </c>
      <c r="H209" s="93" t="s">
        <v>346</v>
      </c>
      <c r="I209" s="93">
        <f t="shared" si="29"/>
        <v>601.04</v>
      </c>
      <c r="J209" s="93">
        <f t="shared" si="30"/>
        <v>2404.16</v>
      </c>
    </row>
    <row r="210" spans="2:10">
      <c r="B210" s="397" t="s">
        <v>1470</v>
      </c>
      <c r="C210" s="92" t="s">
        <v>347</v>
      </c>
      <c r="D210" s="91" t="s">
        <v>348</v>
      </c>
      <c r="E210" s="92" t="s">
        <v>27</v>
      </c>
      <c r="F210" s="92" t="s">
        <v>33</v>
      </c>
      <c r="G210" s="93">
        <v>4</v>
      </c>
      <c r="H210" s="93" t="s">
        <v>349</v>
      </c>
      <c r="I210" s="93">
        <f t="shared" si="29"/>
        <v>178.51</v>
      </c>
      <c r="J210" s="93">
        <f t="shared" si="30"/>
        <v>714.04</v>
      </c>
    </row>
    <row r="211" spans="2:10" ht="38.25">
      <c r="B211" s="397" t="s">
        <v>1471</v>
      </c>
      <c r="C211" s="92" t="s">
        <v>350</v>
      </c>
      <c r="D211" s="91" t="s">
        <v>351</v>
      </c>
      <c r="E211" s="92" t="s">
        <v>27</v>
      </c>
      <c r="F211" s="92" t="s">
        <v>97</v>
      </c>
      <c r="G211" s="93">
        <v>11.14</v>
      </c>
      <c r="H211" s="93" t="s">
        <v>352</v>
      </c>
      <c r="I211" s="93">
        <f t="shared" si="29"/>
        <v>73.61</v>
      </c>
      <c r="J211" s="93">
        <f t="shared" si="30"/>
        <v>820.02</v>
      </c>
    </row>
    <row r="212" spans="2:10">
      <c r="B212" s="397" t="s">
        <v>1472</v>
      </c>
      <c r="C212" s="100" t="s">
        <v>353</v>
      </c>
      <c r="D212" s="91" t="s">
        <v>354</v>
      </c>
      <c r="E212" s="92" t="s">
        <v>27</v>
      </c>
      <c r="F212" s="92" t="s">
        <v>33</v>
      </c>
      <c r="G212" s="93">
        <v>1</v>
      </c>
      <c r="H212" s="93" t="s">
        <v>355</v>
      </c>
      <c r="I212" s="93">
        <f t="shared" si="29"/>
        <v>263.17</v>
      </c>
      <c r="J212" s="93">
        <f t="shared" si="30"/>
        <v>263.17</v>
      </c>
    </row>
    <row r="213" spans="2:10">
      <c r="B213" s="397" t="s">
        <v>1473</v>
      </c>
      <c r="C213" s="92" t="s">
        <v>356</v>
      </c>
      <c r="D213" s="91" t="s">
        <v>357</v>
      </c>
      <c r="E213" s="92" t="s">
        <v>27</v>
      </c>
      <c r="F213" s="92" t="s">
        <v>33</v>
      </c>
      <c r="G213" s="93">
        <v>2</v>
      </c>
      <c r="H213" s="93" t="s">
        <v>358</v>
      </c>
      <c r="I213" s="93">
        <f t="shared" si="29"/>
        <v>131.75</v>
      </c>
      <c r="J213" s="93">
        <f t="shared" si="30"/>
        <v>263.5</v>
      </c>
    </row>
    <row r="214" spans="2:10" ht="51">
      <c r="B214" s="397" t="s">
        <v>1474</v>
      </c>
      <c r="C214" s="92" t="s">
        <v>359</v>
      </c>
      <c r="D214" s="91" t="s">
        <v>360</v>
      </c>
      <c r="E214" s="92" t="s">
        <v>27</v>
      </c>
      <c r="F214" s="92" t="s">
        <v>33</v>
      </c>
      <c r="G214" s="93">
        <v>4</v>
      </c>
      <c r="H214" s="93" t="s">
        <v>361</v>
      </c>
      <c r="I214" s="93">
        <f t="shared" si="29"/>
        <v>95.87</v>
      </c>
      <c r="J214" s="93">
        <f t="shared" si="30"/>
        <v>383.48</v>
      </c>
    </row>
    <row r="215" spans="2:10" ht="51">
      <c r="B215" s="397" t="s">
        <v>1475</v>
      </c>
      <c r="C215" s="92" t="s">
        <v>362</v>
      </c>
      <c r="D215" s="91" t="s">
        <v>363</v>
      </c>
      <c r="E215" s="92" t="s">
        <v>27</v>
      </c>
      <c r="F215" s="92" t="s">
        <v>33</v>
      </c>
      <c r="G215" s="93">
        <v>2</v>
      </c>
      <c r="H215" s="93" t="s">
        <v>364</v>
      </c>
      <c r="I215" s="93">
        <f t="shared" si="29"/>
        <v>265.58</v>
      </c>
      <c r="J215" s="93">
        <f t="shared" si="30"/>
        <v>531.16</v>
      </c>
    </row>
    <row r="216" spans="2:10" ht="12.75" customHeight="1">
      <c r="B216" s="398" t="s">
        <v>1476</v>
      </c>
      <c r="C216" s="620" t="s">
        <v>365</v>
      </c>
      <c r="D216" s="621"/>
      <c r="E216" s="80" t="s">
        <v>18</v>
      </c>
      <c r="F216" s="89"/>
      <c r="G216" s="89"/>
      <c r="H216" s="181"/>
      <c r="I216" s="90"/>
      <c r="J216" s="88">
        <f>J217+J220+J231+J243+J247+J255+J265</f>
        <v>50631.81</v>
      </c>
    </row>
    <row r="217" spans="2:10" ht="12.75" customHeight="1">
      <c r="B217" s="400" t="s">
        <v>1477</v>
      </c>
      <c r="C217" s="618" t="s">
        <v>366</v>
      </c>
      <c r="D217" s="622"/>
      <c r="E217" s="84" t="s">
        <v>18</v>
      </c>
      <c r="F217" s="94"/>
      <c r="G217" s="94"/>
      <c r="H217" s="93"/>
      <c r="I217" s="212"/>
      <c r="J217" s="213">
        <f>SUM(J218:J219)</f>
        <v>1087.71</v>
      </c>
    </row>
    <row r="218" spans="2:10" ht="51">
      <c r="B218" s="397" t="s">
        <v>1478</v>
      </c>
      <c r="C218" s="100" t="s">
        <v>367</v>
      </c>
      <c r="D218" s="91" t="s">
        <v>368</v>
      </c>
      <c r="E218" s="92" t="s">
        <v>27</v>
      </c>
      <c r="F218" s="92" t="s">
        <v>33</v>
      </c>
      <c r="G218" s="93">
        <v>1</v>
      </c>
      <c r="H218" s="93" t="s">
        <v>369</v>
      </c>
      <c r="I218" s="93">
        <f>ROUND($H218*(1+$G$14),2)</f>
        <v>422.4</v>
      </c>
      <c r="J218" s="93">
        <f>ROUND(G218*I218,2)</f>
        <v>422.4</v>
      </c>
    </row>
    <row r="219" spans="2:10" ht="51">
      <c r="B219" s="397" t="s">
        <v>1479</v>
      </c>
      <c r="C219" s="100" t="s">
        <v>370</v>
      </c>
      <c r="D219" s="91" t="s">
        <v>371</v>
      </c>
      <c r="E219" s="92" t="s">
        <v>27</v>
      </c>
      <c r="F219" s="92" t="s">
        <v>33</v>
      </c>
      <c r="G219" s="93">
        <v>1</v>
      </c>
      <c r="H219" s="93" t="s">
        <v>372</v>
      </c>
      <c r="I219" s="93">
        <f>ROUND($H219*(1+$G$14),2)</f>
        <v>665.31</v>
      </c>
      <c r="J219" s="93">
        <f>ROUND(G219*I219,2)</f>
        <v>665.31</v>
      </c>
    </row>
    <row r="220" spans="2:10" ht="12.75" customHeight="1">
      <c r="B220" s="400" t="s">
        <v>1480</v>
      </c>
      <c r="C220" s="618" t="s">
        <v>373</v>
      </c>
      <c r="D220" s="622"/>
      <c r="E220" s="84" t="s">
        <v>18</v>
      </c>
      <c r="F220" s="94"/>
      <c r="G220" s="94"/>
      <c r="H220" s="93"/>
      <c r="I220" s="212"/>
      <c r="J220" s="213">
        <f>SUM(J221:J230)</f>
        <v>3123.1800000000003</v>
      </c>
    </row>
    <row r="221" spans="2:10" ht="25.5">
      <c r="B221" s="397" t="s">
        <v>1481</v>
      </c>
      <c r="C221" s="92" t="s">
        <v>374</v>
      </c>
      <c r="D221" s="91" t="s">
        <v>375</v>
      </c>
      <c r="E221" s="92" t="s">
        <v>27</v>
      </c>
      <c r="F221" s="92" t="s">
        <v>33</v>
      </c>
      <c r="G221" s="93">
        <v>27</v>
      </c>
      <c r="H221" s="93" t="s">
        <v>376</v>
      </c>
      <c r="I221" s="93">
        <f t="shared" ref="I221:I230" si="31">ROUND($H221*(1+$G$14),2)</f>
        <v>12.64</v>
      </c>
      <c r="J221" s="93">
        <f t="shared" ref="J221:J230" si="32">ROUND(G221*I221,2)</f>
        <v>341.28</v>
      </c>
    </row>
    <row r="222" spans="2:10" ht="25.5">
      <c r="B222" s="397" t="s">
        <v>1482</v>
      </c>
      <c r="C222" s="92" t="s">
        <v>377</v>
      </c>
      <c r="D222" s="91" t="s">
        <v>378</v>
      </c>
      <c r="E222" s="92" t="s">
        <v>27</v>
      </c>
      <c r="F222" s="92" t="s">
        <v>33</v>
      </c>
      <c r="G222" s="93">
        <v>2</v>
      </c>
      <c r="H222" s="93" t="s">
        <v>379</v>
      </c>
      <c r="I222" s="93">
        <f t="shared" si="31"/>
        <v>13.71</v>
      </c>
      <c r="J222" s="93">
        <f t="shared" si="32"/>
        <v>27.42</v>
      </c>
    </row>
    <row r="223" spans="2:10" ht="25.5">
      <c r="B223" s="397" t="s">
        <v>1483</v>
      </c>
      <c r="C223" s="92" t="s">
        <v>380</v>
      </c>
      <c r="D223" s="91" t="s">
        <v>381</v>
      </c>
      <c r="E223" s="92" t="s">
        <v>27</v>
      </c>
      <c r="F223" s="92" t="s">
        <v>33</v>
      </c>
      <c r="G223" s="93">
        <v>9</v>
      </c>
      <c r="H223" s="93" t="s">
        <v>382</v>
      </c>
      <c r="I223" s="93">
        <f t="shared" si="31"/>
        <v>61.62</v>
      </c>
      <c r="J223" s="93">
        <f t="shared" si="32"/>
        <v>554.58000000000004</v>
      </c>
    </row>
    <row r="224" spans="2:10" ht="25.5">
      <c r="B224" s="397" t="s">
        <v>1484</v>
      </c>
      <c r="C224" s="92" t="s">
        <v>383</v>
      </c>
      <c r="D224" s="91" t="s">
        <v>384</v>
      </c>
      <c r="E224" s="92" t="s">
        <v>27</v>
      </c>
      <c r="F224" s="92" t="s">
        <v>33</v>
      </c>
      <c r="G224" s="93">
        <v>5</v>
      </c>
      <c r="H224" s="93" t="s">
        <v>385</v>
      </c>
      <c r="I224" s="93">
        <f t="shared" si="31"/>
        <v>63.85</v>
      </c>
      <c r="J224" s="93">
        <f t="shared" si="32"/>
        <v>319.25</v>
      </c>
    </row>
    <row r="225" spans="2:10" ht="25.5">
      <c r="B225" s="397" t="s">
        <v>1485</v>
      </c>
      <c r="C225" s="92" t="s">
        <v>386</v>
      </c>
      <c r="D225" s="91" t="s">
        <v>387</v>
      </c>
      <c r="E225" s="92" t="s">
        <v>27</v>
      </c>
      <c r="F225" s="92" t="s">
        <v>33</v>
      </c>
      <c r="G225" s="93">
        <v>2</v>
      </c>
      <c r="H225" s="93" t="s">
        <v>388</v>
      </c>
      <c r="I225" s="93">
        <f t="shared" si="31"/>
        <v>66.55</v>
      </c>
      <c r="J225" s="93">
        <f t="shared" si="32"/>
        <v>133.1</v>
      </c>
    </row>
    <row r="226" spans="2:10" ht="25.5">
      <c r="B226" s="397" t="s">
        <v>1486</v>
      </c>
      <c r="C226" s="92" t="s">
        <v>389</v>
      </c>
      <c r="D226" s="91" t="s">
        <v>390</v>
      </c>
      <c r="E226" s="92" t="s">
        <v>27</v>
      </c>
      <c r="F226" s="92" t="s">
        <v>33</v>
      </c>
      <c r="G226" s="93">
        <v>1</v>
      </c>
      <c r="H226" s="93" t="s">
        <v>391</v>
      </c>
      <c r="I226" s="93">
        <f t="shared" si="31"/>
        <v>77.12</v>
      </c>
      <c r="J226" s="93">
        <f t="shared" si="32"/>
        <v>77.12</v>
      </c>
    </row>
    <row r="227" spans="2:10" ht="25.5">
      <c r="B227" s="397" t="s">
        <v>1487</v>
      </c>
      <c r="C227" s="92" t="s">
        <v>392</v>
      </c>
      <c r="D227" s="91" t="s">
        <v>393</v>
      </c>
      <c r="E227" s="92" t="s">
        <v>27</v>
      </c>
      <c r="F227" s="92" t="s">
        <v>33</v>
      </c>
      <c r="G227" s="93">
        <v>1</v>
      </c>
      <c r="H227" s="93" t="s">
        <v>394</v>
      </c>
      <c r="I227" s="93">
        <f t="shared" si="31"/>
        <v>80.42</v>
      </c>
      <c r="J227" s="93">
        <f t="shared" si="32"/>
        <v>80.42</v>
      </c>
    </row>
    <row r="228" spans="2:10" ht="25.5">
      <c r="B228" s="397" t="s">
        <v>1488</v>
      </c>
      <c r="C228" s="92" t="s">
        <v>395</v>
      </c>
      <c r="D228" s="91" t="s">
        <v>396</v>
      </c>
      <c r="E228" s="92" t="s">
        <v>27</v>
      </c>
      <c r="F228" s="92" t="s">
        <v>33</v>
      </c>
      <c r="G228" s="93">
        <v>1</v>
      </c>
      <c r="H228" s="93" t="s">
        <v>397</v>
      </c>
      <c r="I228" s="93">
        <f t="shared" si="31"/>
        <v>84.47</v>
      </c>
      <c r="J228" s="93">
        <f t="shared" si="32"/>
        <v>84.47</v>
      </c>
    </row>
    <row r="229" spans="2:10" ht="25.5">
      <c r="B229" s="397" t="s">
        <v>1489</v>
      </c>
      <c r="C229" s="100" t="s">
        <v>398</v>
      </c>
      <c r="D229" s="91" t="s">
        <v>399</v>
      </c>
      <c r="E229" s="92" t="s">
        <v>27</v>
      </c>
      <c r="F229" s="92" t="s">
        <v>33</v>
      </c>
      <c r="G229" s="93">
        <v>2</v>
      </c>
      <c r="H229" s="93" t="s">
        <v>400</v>
      </c>
      <c r="I229" s="93">
        <f t="shared" si="31"/>
        <v>138.97999999999999</v>
      </c>
      <c r="J229" s="93">
        <f t="shared" si="32"/>
        <v>277.95999999999998</v>
      </c>
    </row>
    <row r="230" spans="2:10" ht="25.5">
      <c r="B230" s="397" t="s">
        <v>1490</v>
      </c>
      <c r="C230" s="100" t="s">
        <v>401</v>
      </c>
      <c r="D230" s="91" t="s">
        <v>402</v>
      </c>
      <c r="E230" s="92" t="s">
        <v>27</v>
      </c>
      <c r="F230" s="92" t="s">
        <v>33</v>
      </c>
      <c r="G230" s="93">
        <v>2</v>
      </c>
      <c r="H230" s="93" t="s">
        <v>403</v>
      </c>
      <c r="I230" s="93">
        <f t="shared" si="31"/>
        <v>613.79</v>
      </c>
      <c r="J230" s="93">
        <f t="shared" si="32"/>
        <v>1227.58</v>
      </c>
    </row>
    <row r="231" spans="2:10" ht="12.75" customHeight="1">
      <c r="B231" s="400" t="s">
        <v>1491</v>
      </c>
      <c r="C231" s="618" t="s">
        <v>404</v>
      </c>
      <c r="D231" s="622"/>
      <c r="E231" s="84" t="s">
        <v>18</v>
      </c>
      <c r="F231" s="94"/>
      <c r="G231" s="94"/>
      <c r="H231" s="93"/>
      <c r="I231" s="212"/>
      <c r="J231" s="213">
        <f>SUM(J232:J242)</f>
        <v>8764.4800000000014</v>
      </c>
    </row>
    <row r="232" spans="2:10" ht="38.25">
      <c r="B232" s="397" t="s">
        <v>1492</v>
      </c>
      <c r="C232" s="92" t="s">
        <v>405</v>
      </c>
      <c r="D232" s="91" t="s">
        <v>406</v>
      </c>
      <c r="E232" s="92" t="s">
        <v>27</v>
      </c>
      <c r="F232" s="92" t="s">
        <v>97</v>
      </c>
      <c r="G232" s="93">
        <v>312</v>
      </c>
      <c r="H232" s="93" t="s">
        <v>407</v>
      </c>
      <c r="I232" s="93">
        <f t="shared" ref="I232:I242" si="33">ROUND($H232*(1+$G$14),2)</f>
        <v>9.8000000000000007</v>
      </c>
      <c r="J232" s="93">
        <f t="shared" ref="J232:J242" si="34">ROUND(G232*I232,2)</f>
        <v>3057.6</v>
      </c>
    </row>
    <row r="233" spans="2:10" ht="38.25">
      <c r="B233" s="397" t="s">
        <v>1493</v>
      </c>
      <c r="C233" s="92" t="s">
        <v>408</v>
      </c>
      <c r="D233" s="91" t="s">
        <v>409</v>
      </c>
      <c r="E233" s="92" t="s">
        <v>27</v>
      </c>
      <c r="F233" s="92" t="s">
        <v>97</v>
      </c>
      <c r="G233" s="93">
        <v>90</v>
      </c>
      <c r="H233" s="93" t="s">
        <v>410</v>
      </c>
      <c r="I233" s="93">
        <f t="shared" si="33"/>
        <v>12.82</v>
      </c>
      <c r="J233" s="93">
        <f t="shared" si="34"/>
        <v>1153.8</v>
      </c>
    </row>
    <row r="234" spans="2:10" ht="38.25">
      <c r="B234" s="397" t="s">
        <v>1494</v>
      </c>
      <c r="C234" s="92" t="s">
        <v>411</v>
      </c>
      <c r="D234" s="91" t="s">
        <v>412</v>
      </c>
      <c r="E234" s="92" t="s">
        <v>27</v>
      </c>
      <c r="F234" s="92" t="s">
        <v>97</v>
      </c>
      <c r="G234" s="93">
        <v>12</v>
      </c>
      <c r="H234" s="93" t="s">
        <v>413</v>
      </c>
      <c r="I234" s="93">
        <f t="shared" si="33"/>
        <v>15.89</v>
      </c>
      <c r="J234" s="93">
        <f t="shared" si="34"/>
        <v>190.68</v>
      </c>
    </row>
    <row r="235" spans="2:10" ht="25.5">
      <c r="B235" s="397" t="s">
        <v>1495</v>
      </c>
      <c r="C235" s="92" t="s">
        <v>414</v>
      </c>
      <c r="D235" s="91" t="s">
        <v>415</v>
      </c>
      <c r="E235" s="92" t="s">
        <v>27</v>
      </c>
      <c r="F235" s="92" t="s">
        <v>97</v>
      </c>
      <c r="G235" s="93">
        <v>36</v>
      </c>
      <c r="H235" s="93" t="s">
        <v>416</v>
      </c>
      <c r="I235" s="93">
        <f t="shared" si="33"/>
        <v>48.69</v>
      </c>
      <c r="J235" s="93">
        <f t="shared" si="34"/>
        <v>1752.84</v>
      </c>
    </row>
    <row r="236" spans="2:10" ht="38.25">
      <c r="B236" s="397" t="s">
        <v>1496</v>
      </c>
      <c r="C236" s="92" t="s">
        <v>952</v>
      </c>
      <c r="D236" s="91" t="s">
        <v>953</v>
      </c>
      <c r="E236" s="92" t="s">
        <v>27</v>
      </c>
      <c r="F236" s="92" t="s">
        <v>33</v>
      </c>
      <c r="G236" s="93">
        <v>100</v>
      </c>
      <c r="H236" s="93">
        <v>4.92</v>
      </c>
      <c r="I236" s="93">
        <f t="shared" si="33"/>
        <v>6.31</v>
      </c>
      <c r="J236" s="93">
        <f t="shared" si="34"/>
        <v>631</v>
      </c>
    </row>
    <row r="237" spans="2:10" ht="38.25">
      <c r="B237" s="397" t="s">
        <v>1497</v>
      </c>
      <c r="C237" s="92" t="s">
        <v>954</v>
      </c>
      <c r="D237" s="91" t="s">
        <v>955</v>
      </c>
      <c r="E237" s="92" t="s">
        <v>27</v>
      </c>
      <c r="F237" s="92" t="s">
        <v>33</v>
      </c>
      <c r="G237" s="93">
        <v>30</v>
      </c>
      <c r="H237" s="93">
        <v>6.48</v>
      </c>
      <c r="I237" s="93">
        <f t="shared" si="33"/>
        <v>8.31</v>
      </c>
      <c r="J237" s="93">
        <f t="shared" si="34"/>
        <v>249.3</v>
      </c>
    </row>
    <row r="238" spans="2:10" ht="38.25">
      <c r="B238" s="397" t="s">
        <v>1498</v>
      </c>
      <c r="C238" s="92" t="s">
        <v>956</v>
      </c>
      <c r="D238" s="91" t="s">
        <v>957</v>
      </c>
      <c r="E238" s="92" t="s">
        <v>27</v>
      </c>
      <c r="F238" s="92" t="s">
        <v>33</v>
      </c>
      <c r="G238" s="93">
        <v>4</v>
      </c>
      <c r="H238" s="93">
        <v>8.5399999999999991</v>
      </c>
      <c r="I238" s="93">
        <f t="shared" si="33"/>
        <v>10.95</v>
      </c>
      <c r="J238" s="93">
        <f t="shared" si="34"/>
        <v>43.8</v>
      </c>
    </row>
    <row r="239" spans="2:10" ht="25.5">
      <c r="B239" s="397" t="s">
        <v>1499</v>
      </c>
      <c r="C239" s="92" t="s">
        <v>968</v>
      </c>
      <c r="D239" s="91" t="s">
        <v>969</v>
      </c>
      <c r="E239" s="92" t="s">
        <v>27</v>
      </c>
      <c r="F239" s="92" t="s">
        <v>33</v>
      </c>
      <c r="G239" s="93">
        <v>8</v>
      </c>
      <c r="H239" s="93">
        <v>23.85</v>
      </c>
      <c r="I239" s="93">
        <f t="shared" si="33"/>
        <v>30.58</v>
      </c>
      <c r="J239" s="93">
        <f t="shared" si="34"/>
        <v>244.64</v>
      </c>
    </row>
    <row r="240" spans="2:10" ht="38.25">
      <c r="B240" s="397" t="s">
        <v>1500</v>
      </c>
      <c r="C240" s="92" t="s">
        <v>948</v>
      </c>
      <c r="D240" s="91" t="s">
        <v>949</v>
      </c>
      <c r="E240" s="92" t="s">
        <v>27</v>
      </c>
      <c r="F240" s="92" t="s">
        <v>97</v>
      </c>
      <c r="G240" s="93">
        <v>89</v>
      </c>
      <c r="H240" s="93">
        <v>6.49</v>
      </c>
      <c r="I240" s="93">
        <f t="shared" si="33"/>
        <v>8.32</v>
      </c>
      <c r="J240" s="93">
        <f t="shared" si="34"/>
        <v>740.48</v>
      </c>
    </row>
    <row r="241" spans="2:10" ht="38.25">
      <c r="B241" s="397" t="s">
        <v>1501</v>
      </c>
      <c r="C241" s="92" t="s">
        <v>950</v>
      </c>
      <c r="D241" s="91" t="s">
        <v>951</v>
      </c>
      <c r="E241" s="92" t="s">
        <v>27</v>
      </c>
      <c r="F241" s="92" t="s">
        <v>97</v>
      </c>
      <c r="G241" s="93">
        <v>52</v>
      </c>
      <c r="H241" s="93">
        <v>7.64</v>
      </c>
      <c r="I241" s="93">
        <f t="shared" si="33"/>
        <v>9.8000000000000007</v>
      </c>
      <c r="J241" s="93">
        <f t="shared" si="34"/>
        <v>509.6</v>
      </c>
    </row>
    <row r="242" spans="2:10">
      <c r="B242" s="397" t="s">
        <v>1502</v>
      </c>
      <c r="C242" s="92" t="s">
        <v>417</v>
      </c>
      <c r="D242" s="91" t="s">
        <v>418</v>
      </c>
      <c r="E242" s="92" t="s">
        <v>27</v>
      </c>
      <c r="F242" s="92" t="s">
        <v>33</v>
      </c>
      <c r="G242" s="93">
        <v>1</v>
      </c>
      <c r="H242" s="93" t="s">
        <v>419</v>
      </c>
      <c r="I242" s="93">
        <f t="shared" si="33"/>
        <v>190.74</v>
      </c>
      <c r="J242" s="93">
        <f t="shared" si="34"/>
        <v>190.74</v>
      </c>
    </row>
    <row r="243" spans="2:10" ht="12.75" customHeight="1">
      <c r="B243" s="400" t="s">
        <v>1503</v>
      </c>
      <c r="C243" s="618" t="s">
        <v>420</v>
      </c>
      <c r="D243" s="622"/>
      <c r="E243" s="84" t="s">
        <v>18</v>
      </c>
      <c r="F243" s="94"/>
      <c r="G243" s="94"/>
      <c r="H243" s="93"/>
      <c r="I243" s="212"/>
      <c r="J243" s="213">
        <f>SUM(J244:J246)</f>
        <v>14854.62</v>
      </c>
    </row>
    <row r="244" spans="2:10" ht="38.25">
      <c r="B244" s="397" t="s">
        <v>1504</v>
      </c>
      <c r="C244" s="92" t="s">
        <v>421</v>
      </c>
      <c r="D244" s="91" t="s">
        <v>422</v>
      </c>
      <c r="E244" s="92" t="s">
        <v>27</v>
      </c>
      <c r="F244" s="92" t="s">
        <v>97</v>
      </c>
      <c r="G244" s="93">
        <f>'MEMORIA DE CALCULO AMPLIAÇÃO'!J420</f>
        <v>3102</v>
      </c>
      <c r="H244" s="93" t="s">
        <v>423</v>
      </c>
      <c r="I244" s="93">
        <f>ROUND($H244*(1+$G$14),2)</f>
        <v>3.81</v>
      </c>
      <c r="J244" s="93">
        <f>ROUND(G244*I244,2)</f>
        <v>11818.62</v>
      </c>
    </row>
    <row r="245" spans="2:10" ht="38.25">
      <c r="B245" s="397" t="s">
        <v>1505</v>
      </c>
      <c r="C245" s="92" t="s">
        <v>424</v>
      </c>
      <c r="D245" s="91" t="s">
        <v>425</v>
      </c>
      <c r="E245" s="92" t="s">
        <v>27</v>
      </c>
      <c r="F245" s="92" t="s">
        <v>97</v>
      </c>
      <c r="G245" s="93">
        <v>300</v>
      </c>
      <c r="H245" s="93" t="s">
        <v>426</v>
      </c>
      <c r="I245" s="93">
        <f>ROUND($H245*(1+$G$14),2)</f>
        <v>5.39</v>
      </c>
      <c r="J245" s="93">
        <f>ROUND(G245*I245,2)</f>
        <v>1617</v>
      </c>
    </row>
    <row r="246" spans="2:10" ht="38.25">
      <c r="B246" s="397" t="s">
        <v>1506</v>
      </c>
      <c r="C246" s="92" t="s">
        <v>427</v>
      </c>
      <c r="D246" s="91" t="s">
        <v>428</v>
      </c>
      <c r="E246" s="92" t="s">
        <v>27</v>
      </c>
      <c r="F246" s="92" t="s">
        <v>97</v>
      </c>
      <c r="G246" s="93">
        <v>220</v>
      </c>
      <c r="H246" s="93" t="s">
        <v>429</v>
      </c>
      <c r="I246" s="93">
        <f>ROUND($H246*(1+$G$14),2)</f>
        <v>6.45</v>
      </c>
      <c r="J246" s="93">
        <f>ROUND(G246*I246,2)</f>
        <v>1419</v>
      </c>
    </row>
    <row r="247" spans="2:10" ht="12.75" customHeight="1">
      <c r="B247" s="400" t="s">
        <v>1507</v>
      </c>
      <c r="C247" s="618" t="s">
        <v>430</v>
      </c>
      <c r="D247" s="622"/>
      <c r="E247" s="84" t="s">
        <v>18</v>
      </c>
      <c r="F247" s="94"/>
      <c r="G247" s="94"/>
      <c r="H247" s="93"/>
      <c r="I247" s="93"/>
      <c r="J247" s="213">
        <f>SUM(J248:J254)</f>
        <v>10768.669999999998</v>
      </c>
    </row>
    <row r="248" spans="2:10">
      <c r="B248" s="397" t="s">
        <v>1508</v>
      </c>
      <c r="C248" s="92" t="s">
        <v>431</v>
      </c>
      <c r="D248" s="91" t="s">
        <v>432</v>
      </c>
      <c r="E248" s="92" t="s">
        <v>27</v>
      </c>
      <c r="F248" s="92" t="s">
        <v>97</v>
      </c>
      <c r="G248" s="93">
        <v>4</v>
      </c>
      <c r="H248" s="93">
        <v>3.82</v>
      </c>
      <c r="I248" s="93">
        <f t="shared" ref="I248:I254" si="35">ROUND($H248*(1+$G$14),2)</f>
        <v>4.9000000000000004</v>
      </c>
      <c r="J248" s="93">
        <f t="shared" ref="J248:J253" si="36">ROUND(G248*I248,2)</f>
        <v>19.600000000000001</v>
      </c>
    </row>
    <row r="249" spans="2:10" ht="63.75">
      <c r="B249" s="397" t="s">
        <v>1509</v>
      </c>
      <c r="C249" s="92" t="s">
        <v>946</v>
      </c>
      <c r="D249" s="283" t="s">
        <v>947</v>
      </c>
      <c r="E249" s="92" t="s">
        <v>27</v>
      </c>
      <c r="F249" s="92" t="s">
        <v>97</v>
      </c>
      <c r="G249" s="284">
        <v>4</v>
      </c>
      <c r="H249" s="284">
        <v>1.95</v>
      </c>
      <c r="I249" s="284">
        <f t="shared" si="35"/>
        <v>2.5</v>
      </c>
      <c r="J249" s="284">
        <f t="shared" ref="J249" si="37">ROUND(G249*I249,2)</f>
        <v>10</v>
      </c>
    </row>
    <row r="250" spans="2:10" ht="25.5">
      <c r="B250" s="397" t="s">
        <v>1510</v>
      </c>
      <c r="C250" s="100" t="s">
        <v>1115</v>
      </c>
      <c r="D250" s="286" t="s">
        <v>1117</v>
      </c>
      <c r="E250" s="100" t="s">
        <v>21</v>
      </c>
      <c r="F250" s="92" t="s">
        <v>97</v>
      </c>
      <c r="G250" s="93">
        <v>72</v>
      </c>
      <c r="H250" s="93">
        <f>'COMPOSICOES AMPLIAÇÃO'!G603</f>
        <v>37.260000000000005</v>
      </c>
      <c r="I250" s="93">
        <f t="shared" si="35"/>
        <v>47.77</v>
      </c>
      <c r="J250" s="93">
        <f t="shared" si="36"/>
        <v>3439.44</v>
      </c>
    </row>
    <row r="251" spans="2:10" ht="25.5">
      <c r="B251" s="397" t="s">
        <v>1511</v>
      </c>
      <c r="C251" s="100" t="s">
        <v>1119</v>
      </c>
      <c r="D251" s="286" t="s">
        <v>1121</v>
      </c>
      <c r="E251" s="100" t="s">
        <v>21</v>
      </c>
      <c r="F251" s="92" t="s">
        <v>433</v>
      </c>
      <c r="G251" s="93">
        <v>72</v>
      </c>
      <c r="H251" s="93">
        <f>'COMPOSICOES AMPLIAÇÃO'!G661</f>
        <v>68.94</v>
      </c>
      <c r="I251" s="93">
        <f t="shared" si="35"/>
        <v>88.39</v>
      </c>
      <c r="J251" s="93">
        <f t="shared" si="36"/>
        <v>6364.08</v>
      </c>
    </row>
    <row r="252" spans="2:10" ht="25.5">
      <c r="B252" s="397" t="s">
        <v>1512</v>
      </c>
      <c r="C252" s="100" t="s">
        <v>1123</v>
      </c>
      <c r="D252" s="286" t="s">
        <v>434</v>
      </c>
      <c r="E252" s="100" t="s">
        <v>21</v>
      </c>
      <c r="F252" s="92" t="s">
        <v>236</v>
      </c>
      <c r="G252" s="93">
        <v>1</v>
      </c>
      <c r="H252" s="93">
        <f>'COMPOSICOES AMPLIAÇÃO'!G717</f>
        <v>60.480000000000004</v>
      </c>
      <c r="I252" s="93">
        <f t="shared" si="35"/>
        <v>77.55</v>
      </c>
      <c r="J252" s="93">
        <f t="shared" si="36"/>
        <v>77.55</v>
      </c>
    </row>
    <row r="253" spans="2:10" ht="25.5" customHeight="1">
      <c r="B253" s="397" t="s">
        <v>1513</v>
      </c>
      <c r="C253" s="92" t="s">
        <v>435</v>
      </c>
      <c r="D253" s="91" t="s">
        <v>436</v>
      </c>
      <c r="E253" s="92" t="s">
        <v>27</v>
      </c>
      <c r="F253" s="92" t="s">
        <v>33</v>
      </c>
      <c r="G253" s="93">
        <v>100</v>
      </c>
      <c r="H253" s="93">
        <v>3.47</v>
      </c>
      <c r="I253" s="93">
        <f t="shared" si="35"/>
        <v>4.45</v>
      </c>
      <c r="J253" s="93">
        <f t="shared" si="36"/>
        <v>445</v>
      </c>
    </row>
    <row r="254" spans="2:10" ht="25.5" customHeight="1">
      <c r="B254" s="397" t="s">
        <v>1514</v>
      </c>
      <c r="C254" s="92" t="s">
        <v>981</v>
      </c>
      <c r="D254" s="283" t="s">
        <v>1126</v>
      </c>
      <c r="E254" s="92" t="s">
        <v>27</v>
      </c>
      <c r="F254" s="92" t="s">
        <v>33</v>
      </c>
      <c r="G254" s="284">
        <v>100</v>
      </c>
      <c r="H254" s="284">
        <v>3.22</v>
      </c>
      <c r="I254" s="284">
        <f t="shared" si="35"/>
        <v>4.13</v>
      </c>
      <c r="J254" s="284">
        <f t="shared" ref="J254" si="38">ROUND(G254*I254,2)</f>
        <v>413</v>
      </c>
    </row>
    <row r="255" spans="2:10" ht="12.75" customHeight="1">
      <c r="B255" s="400" t="s">
        <v>1515</v>
      </c>
      <c r="C255" s="618" t="s">
        <v>437</v>
      </c>
      <c r="D255" s="622"/>
      <c r="E255" s="85" t="s">
        <v>18</v>
      </c>
      <c r="F255" s="94"/>
      <c r="G255" s="94"/>
      <c r="H255" s="93"/>
      <c r="I255" s="212"/>
      <c r="J255" s="213">
        <f>SUM(J256:J263)</f>
        <v>4516.2299999999996</v>
      </c>
    </row>
    <row r="256" spans="2:10" ht="38.25">
      <c r="B256" s="397" t="s">
        <v>1516</v>
      </c>
      <c r="C256" s="92" t="s">
        <v>438</v>
      </c>
      <c r="D256" s="91" t="s">
        <v>439</v>
      </c>
      <c r="E256" s="92" t="s">
        <v>27</v>
      </c>
      <c r="F256" s="92" t="s">
        <v>33</v>
      </c>
      <c r="G256" s="93">
        <v>15</v>
      </c>
      <c r="H256" s="93" t="s">
        <v>440</v>
      </c>
      <c r="I256" s="93">
        <f t="shared" ref="I256:I263" si="39">ROUND($H256*(1+$G$14),2)</f>
        <v>24.66</v>
      </c>
      <c r="J256" s="93">
        <f t="shared" ref="J256:J261" si="40">ROUND(G256*I256,2)</f>
        <v>369.9</v>
      </c>
    </row>
    <row r="257" spans="2:10" ht="38.25">
      <c r="B257" s="397" t="s">
        <v>1517</v>
      </c>
      <c r="C257" s="92" t="s">
        <v>441</v>
      </c>
      <c r="D257" s="91" t="s">
        <v>442</v>
      </c>
      <c r="E257" s="92" t="s">
        <v>27</v>
      </c>
      <c r="F257" s="92" t="s">
        <v>33</v>
      </c>
      <c r="G257" s="93">
        <v>2</v>
      </c>
      <c r="H257" s="93" t="s">
        <v>443</v>
      </c>
      <c r="I257" s="93">
        <f t="shared" si="39"/>
        <v>30.63</v>
      </c>
      <c r="J257" s="93">
        <f t="shared" si="40"/>
        <v>61.26</v>
      </c>
    </row>
    <row r="258" spans="2:10" ht="38.25">
      <c r="B258" s="397" t="s">
        <v>1518</v>
      </c>
      <c r="C258" s="92" t="s">
        <v>960</v>
      </c>
      <c r="D258" s="91" t="s">
        <v>1127</v>
      </c>
      <c r="E258" s="92" t="s">
        <v>27</v>
      </c>
      <c r="F258" s="92" t="s">
        <v>33</v>
      </c>
      <c r="G258" s="93">
        <v>26</v>
      </c>
      <c r="H258" s="93">
        <v>16.07</v>
      </c>
      <c r="I258" s="93">
        <f t="shared" si="39"/>
        <v>20.6</v>
      </c>
      <c r="J258" s="93">
        <f t="shared" si="40"/>
        <v>535.6</v>
      </c>
    </row>
    <row r="259" spans="2:10" ht="38.25">
      <c r="B259" s="397" t="s">
        <v>1519</v>
      </c>
      <c r="C259" s="92" t="s">
        <v>963</v>
      </c>
      <c r="D259" s="91" t="s">
        <v>964</v>
      </c>
      <c r="E259" s="92" t="s">
        <v>27</v>
      </c>
      <c r="F259" s="92" t="s">
        <v>33</v>
      </c>
      <c r="G259" s="93">
        <v>22</v>
      </c>
      <c r="H259" s="93">
        <v>35.57</v>
      </c>
      <c r="I259" s="93">
        <f t="shared" si="39"/>
        <v>45.61</v>
      </c>
      <c r="J259" s="93">
        <f t="shared" si="40"/>
        <v>1003.42</v>
      </c>
    </row>
    <row r="260" spans="2:10" ht="38.25">
      <c r="B260" s="397" t="s">
        <v>1520</v>
      </c>
      <c r="C260" s="92" t="s">
        <v>961</v>
      </c>
      <c r="D260" s="91" t="s">
        <v>962</v>
      </c>
      <c r="E260" s="92" t="s">
        <v>27</v>
      </c>
      <c r="F260" s="92" t="s">
        <v>33</v>
      </c>
      <c r="G260" s="93">
        <v>15</v>
      </c>
      <c r="H260" s="93">
        <v>21.83</v>
      </c>
      <c r="I260" s="93">
        <f t="shared" si="39"/>
        <v>27.99</v>
      </c>
      <c r="J260" s="93">
        <f t="shared" si="40"/>
        <v>419.85</v>
      </c>
    </row>
    <row r="261" spans="2:10" ht="51">
      <c r="B261" s="397" t="s">
        <v>1521</v>
      </c>
      <c r="C261" s="92" t="s">
        <v>972</v>
      </c>
      <c r="D261" s="297" t="s">
        <v>973</v>
      </c>
      <c r="E261" s="100" t="s">
        <v>1060</v>
      </c>
      <c r="F261" s="92" t="s">
        <v>236</v>
      </c>
      <c r="G261" s="93">
        <v>2</v>
      </c>
      <c r="H261" s="93">
        <v>160.63</v>
      </c>
      <c r="I261" s="93">
        <f t="shared" si="39"/>
        <v>205.96</v>
      </c>
      <c r="J261" s="93">
        <f t="shared" si="40"/>
        <v>411.92</v>
      </c>
    </row>
    <row r="262" spans="2:10" ht="38.25">
      <c r="B262" s="397" t="s">
        <v>1522</v>
      </c>
      <c r="C262" s="92" t="s">
        <v>1158</v>
      </c>
      <c r="D262" s="297" t="s">
        <v>1160</v>
      </c>
      <c r="E262" s="100" t="s">
        <v>21</v>
      </c>
      <c r="F262" s="92" t="s">
        <v>236</v>
      </c>
      <c r="G262" s="314">
        <v>1</v>
      </c>
      <c r="H262" s="314">
        <f>'COMPOSICOES AMPLIAÇÃO'!G1120</f>
        <v>31.88</v>
      </c>
      <c r="I262" s="314">
        <f t="shared" si="39"/>
        <v>40.880000000000003</v>
      </c>
      <c r="J262" s="314">
        <f t="shared" ref="J262:J263" si="41">ROUND(G262*I262,2)</f>
        <v>40.880000000000003</v>
      </c>
    </row>
    <row r="263" spans="2:10" ht="25.5">
      <c r="B263" s="397" t="s">
        <v>1523</v>
      </c>
      <c r="C263" s="92" t="s">
        <v>1162</v>
      </c>
      <c r="D263" s="297" t="s">
        <v>1161</v>
      </c>
      <c r="E263" s="100" t="s">
        <v>21</v>
      </c>
      <c r="F263" s="92" t="s">
        <v>236</v>
      </c>
      <c r="G263" s="314">
        <v>5</v>
      </c>
      <c r="H263" s="314">
        <f>'COMPOSICOES AMPLIAÇÃO'!G1172</f>
        <v>261.02</v>
      </c>
      <c r="I263" s="314">
        <f t="shared" si="39"/>
        <v>334.68</v>
      </c>
      <c r="J263" s="314">
        <f t="shared" si="41"/>
        <v>1673.4</v>
      </c>
    </row>
    <row r="264" spans="2:10">
      <c r="B264" s="313"/>
      <c r="C264" s="294"/>
      <c r="D264" s="342"/>
      <c r="E264" s="100"/>
      <c r="F264" s="92"/>
      <c r="G264" s="314"/>
      <c r="H264" s="314"/>
      <c r="I264" s="314"/>
      <c r="J264" s="314"/>
    </row>
    <row r="265" spans="2:10" ht="12.75" customHeight="1">
      <c r="B265" s="400" t="s">
        <v>1524</v>
      </c>
      <c r="C265" s="618" t="s">
        <v>444</v>
      </c>
      <c r="D265" s="622"/>
      <c r="E265" s="84" t="s">
        <v>18</v>
      </c>
      <c r="F265" s="94"/>
      <c r="G265" s="94"/>
      <c r="H265" s="93"/>
      <c r="I265" s="212"/>
      <c r="J265" s="213">
        <f>SUM(J266:J269)</f>
        <v>7516.92</v>
      </c>
    </row>
    <row r="266" spans="2:10">
      <c r="B266" s="397" t="s">
        <v>1525</v>
      </c>
      <c r="C266" s="100" t="s">
        <v>445</v>
      </c>
      <c r="D266" s="91" t="s">
        <v>446</v>
      </c>
      <c r="E266" s="92" t="s">
        <v>27</v>
      </c>
      <c r="F266" s="92" t="s">
        <v>33</v>
      </c>
      <c r="G266" s="93"/>
      <c r="H266" s="93" t="s">
        <v>447</v>
      </c>
      <c r="I266" s="93">
        <f>ROUND($H266*(1+$G$14),2)</f>
        <v>73.19</v>
      </c>
      <c r="J266" s="93">
        <f>ROUND(G266*I266,2)</f>
        <v>0</v>
      </c>
    </row>
    <row r="267" spans="2:10">
      <c r="B267" s="397" t="s">
        <v>1526</v>
      </c>
      <c r="C267" s="100" t="s">
        <v>448</v>
      </c>
      <c r="D267" s="91" t="s">
        <v>449</v>
      </c>
      <c r="E267" s="92" t="s">
        <v>27</v>
      </c>
      <c r="F267" s="92" t="s">
        <v>33</v>
      </c>
      <c r="G267" s="93"/>
      <c r="H267" s="93" t="s">
        <v>450</v>
      </c>
      <c r="I267" s="93">
        <f>ROUND($H267*(1+$G$14),2)</f>
        <v>99.82</v>
      </c>
      <c r="J267" s="93">
        <f>ROUND(G267*I267,2)</f>
        <v>0</v>
      </c>
    </row>
    <row r="268" spans="2:10">
      <c r="B268" s="397" t="s">
        <v>1527</v>
      </c>
      <c r="C268" s="100" t="s">
        <v>451</v>
      </c>
      <c r="D268" s="91" t="s">
        <v>452</v>
      </c>
      <c r="E268" s="92" t="s">
        <v>27</v>
      </c>
      <c r="F268" s="92" t="s">
        <v>33</v>
      </c>
      <c r="G268" s="93">
        <v>3</v>
      </c>
      <c r="H268" s="93" t="s">
        <v>453</v>
      </c>
      <c r="I268" s="93">
        <f>ROUND($H268*(1+$G$14),2)</f>
        <v>96.06</v>
      </c>
      <c r="J268" s="93">
        <f>ROUND(G268*I268,2)</f>
        <v>288.18</v>
      </c>
    </row>
    <row r="269" spans="2:10">
      <c r="B269" s="397" t="s">
        <v>1528</v>
      </c>
      <c r="C269" s="100" t="s">
        <v>454</v>
      </c>
      <c r="D269" s="91" t="s">
        <v>455</v>
      </c>
      <c r="E269" s="92" t="s">
        <v>27</v>
      </c>
      <c r="F269" s="92" t="s">
        <v>33</v>
      </c>
      <c r="G269" s="93">
        <v>57</v>
      </c>
      <c r="H269" s="93" t="s">
        <v>456</v>
      </c>
      <c r="I269" s="93">
        <f>ROUND($H269*(1+$G$14),2)</f>
        <v>126.82</v>
      </c>
      <c r="J269" s="93">
        <f>ROUND(G269*I269,2)</f>
        <v>7228.74</v>
      </c>
    </row>
    <row r="270" spans="2:10" ht="12.75" customHeight="1">
      <c r="B270" s="398" t="s">
        <v>1529</v>
      </c>
      <c r="C270" s="620" t="s">
        <v>457</v>
      </c>
      <c r="D270" s="621"/>
      <c r="E270" s="80" t="s">
        <v>18</v>
      </c>
      <c r="F270" s="89"/>
      <c r="G270" s="89"/>
      <c r="H270" s="181"/>
      <c r="I270" s="90"/>
      <c r="J270" s="88">
        <f>SUM(J271:J273)</f>
        <v>44986.029999999992</v>
      </c>
    </row>
    <row r="271" spans="2:10" ht="25.5">
      <c r="B271" s="397" t="s">
        <v>1530</v>
      </c>
      <c r="C271" s="100" t="s">
        <v>1128</v>
      </c>
      <c r="D271" s="277" t="s">
        <v>782</v>
      </c>
      <c r="E271" s="100" t="s">
        <v>21</v>
      </c>
      <c r="F271" s="92" t="s">
        <v>33</v>
      </c>
      <c r="G271" s="93">
        <f>'MEMORIA DE CALCULO AMPLIAÇÃO'!J430</f>
        <v>9</v>
      </c>
      <c r="H271" s="93">
        <f>'COMPOSICOES AMPLIAÇÃO'!G775</f>
        <v>1694.36</v>
      </c>
      <c r="I271" s="93">
        <f>ROUND($H271*(1+$H$14),2)</f>
        <v>1931.91</v>
      </c>
      <c r="J271" s="93">
        <f>ROUND(G271*I271,2)</f>
        <v>17387.189999999999</v>
      </c>
    </row>
    <row r="272" spans="2:10">
      <c r="B272" s="397" t="s">
        <v>1531</v>
      </c>
      <c r="C272" s="100" t="s">
        <v>1130</v>
      </c>
      <c r="D272" s="277" t="s">
        <v>793</v>
      </c>
      <c r="E272" s="100" t="s">
        <v>21</v>
      </c>
      <c r="F272" s="92" t="s">
        <v>33</v>
      </c>
      <c r="G272" s="93">
        <f>'MEMORIA DE CALCULO AMPLIAÇÃO'!J440</f>
        <v>5</v>
      </c>
      <c r="H272" s="93">
        <f>'COMPOSICOES AMPLIAÇÃO'!G833</f>
        <v>3739.76</v>
      </c>
      <c r="I272" s="93">
        <f>ROUND($H272*(1+$H$14),2)</f>
        <v>4264.07</v>
      </c>
      <c r="J272" s="93">
        <f>ROUND(G272*I272,2)</f>
        <v>21320.35</v>
      </c>
    </row>
    <row r="273" spans="2:10">
      <c r="B273" s="397" t="s">
        <v>1532</v>
      </c>
      <c r="C273" s="100" t="s">
        <v>1131</v>
      </c>
      <c r="D273" s="277" t="s">
        <v>795</v>
      </c>
      <c r="E273" s="100" t="s">
        <v>21</v>
      </c>
      <c r="F273" s="92" t="s">
        <v>33</v>
      </c>
      <c r="G273" s="93">
        <f>'MEMORIA DE CALCULO AMPLIAÇÃO'!J441</f>
        <v>1</v>
      </c>
      <c r="H273" s="93">
        <f>'COMPOSICOES AMPLIAÇÃO'!G891</f>
        <v>5506.48</v>
      </c>
      <c r="I273" s="93">
        <f>ROUND($H273*(1+$H$14),2)</f>
        <v>6278.49</v>
      </c>
      <c r="J273" s="93">
        <f>ROUND(G273*I273,2)</f>
        <v>6278.49</v>
      </c>
    </row>
    <row r="274" spans="2:10" ht="12.75" customHeight="1">
      <c r="B274" s="398" t="s">
        <v>1533</v>
      </c>
      <c r="C274" s="620" t="s">
        <v>458</v>
      </c>
      <c r="D274" s="621"/>
      <c r="E274" s="80" t="s">
        <v>18</v>
      </c>
      <c r="F274" s="89"/>
      <c r="G274" s="89"/>
      <c r="H274" s="181"/>
      <c r="I274" s="90"/>
      <c r="J274" s="88">
        <f>SUM(J275:J287)</f>
        <v>12130.27</v>
      </c>
    </row>
    <row r="275" spans="2:10">
      <c r="B275" s="397" t="s">
        <v>1534</v>
      </c>
      <c r="C275" s="100" t="s">
        <v>1134</v>
      </c>
      <c r="D275" s="277" t="s">
        <v>1135</v>
      </c>
      <c r="E275" s="100" t="s">
        <v>21</v>
      </c>
      <c r="F275" s="92" t="s">
        <v>33</v>
      </c>
      <c r="G275" s="93">
        <v>11</v>
      </c>
      <c r="H275" s="93">
        <f>'COMPOSICOES AMPLIAÇÃO'!G949</f>
        <v>32.36</v>
      </c>
      <c r="I275" s="93">
        <f t="shared" ref="I275:I287" si="42">ROUND($H275*(1+$G$14),2)</f>
        <v>41.49</v>
      </c>
      <c r="J275" s="93">
        <f t="shared" ref="J275:J287" si="43">ROUND(G275*I275,2)</f>
        <v>456.39</v>
      </c>
    </row>
    <row r="276" spans="2:10" ht="38.25">
      <c r="B276" s="397" t="s">
        <v>1535</v>
      </c>
      <c r="C276" s="92" t="s">
        <v>459</v>
      </c>
      <c r="D276" s="91" t="s">
        <v>460</v>
      </c>
      <c r="E276" s="92" t="s">
        <v>27</v>
      </c>
      <c r="F276" s="92" t="s">
        <v>33</v>
      </c>
      <c r="G276" s="93">
        <v>24</v>
      </c>
      <c r="H276" s="93" t="s">
        <v>461</v>
      </c>
      <c r="I276" s="93">
        <f t="shared" si="42"/>
        <v>14.63</v>
      </c>
      <c r="J276" s="93">
        <f t="shared" si="43"/>
        <v>351.12</v>
      </c>
    </row>
    <row r="277" spans="2:10" ht="38.25">
      <c r="B277" s="397" t="s">
        <v>1536</v>
      </c>
      <c r="C277" s="100" t="s">
        <v>907</v>
      </c>
      <c r="D277" s="286" t="s">
        <v>1132</v>
      </c>
      <c r="E277" s="100" t="s">
        <v>1060</v>
      </c>
      <c r="F277" s="92" t="s">
        <v>433</v>
      </c>
      <c r="G277" s="93">
        <v>900</v>
      </c>
      <c r="H277" s="93">
        <v>7.29</v>
      </c>
      <c r="I277" s="93">
        <f t="shared" si="42"/>
        <v>9.35</v>
      </c>
      <c r="J277" s="93">
        <f t="shared" si="43"/>
        <v>8415</v>
      </c>
    </row>
    <row r="278" spans="2:10">
      <c r="B278" s="397" t="s">
        <v>1537</v>
      </c>
      <c r="C278" s="92" t="s">
        <v>431</v>
      </c>
      <c r="D278" s="91" t="s">
        <v>432</v>
      </c>
      <c r="E278" s="92" t="s">
        <v>27</v>
      </c>
      <c r="F278" s="92" t="s">
        <v>97</v>
      </c>
      <c r="G278" s="93">
        <v>38</v>
      </c>
      <c r="H278" s="93">
        <v>3.82</v>
      </c>
      <c r="I278" s="93">
        <f t="shared" si="42"/>
        <v>4.9000000000000004</v>
      </c>
      <c r="J278" s="93">
        <f t="shared" si="43"/>
        <v>186.2</v>
      </c>
    </row>
    <row r="279" spans="2:10" ht="63.75">
      <c r="B279" s="397" t="s">
        <v>1538</v>
      </c>
      <c r="C279" s="92" t="s">
        <v>946</v>
      </c>
      <c r="D279" s="283" t="s">
        <v>947</v>
      </c>
      <c r="E279" s="92" t="s">
        <v>27</v>
      </c>
      <c r="F279" s="92" t="s">
        <v>97</v>
      </c>
      <c r="G279" s="284">
        <v>38</v>
      </c>
      <c r="H279" s="284">
        <v>1.95</v>
      </c>
      <c r="I279" s="284">
        <f t="shared" si="42"/>
        <v>2.5</v>
      </c>
      <c r="J279" s="284">
        <f t="shared" si="43"/>
        <v>95</v>
      </c>
    </row>
    <row r="280" spans="2:10" ht="38.25">
      <c r="B280" s="397" t="s">
        <v>1539</v>
      </c>
      <c r="C280" s="92" t="s">
        <v>405</v>
      </c>
      <c r="D280" s="91" t="s">
        <v>406</v>
      </c>
      <c r="E280" s="92" t="s">
        <v>27</v>
      </c>
      <c r="F280" s="92" t="s">
        <v>97</v>
      </c>
      <c r="G280" s="93">
        <v>60</v>
      </c>
      <c r="H280" s="93" t="s">
        <v>407</v>
      </c>
      <c r="I280" s="93">
        <f t="shared" si="42"/>
        <v>9.8000000000000007</v>
      </c>
      <c r="J280" s="93">
        <f t="shared" si="43"/>
        <v>588</v>
      </c>
    </row>
    <row r="281" spans="2:10" ht="25.5">
      <c r="B281" s="397" t="s">
        <v>1540</v>
      </c>
      <c r="C281" s="92" t="s">
        <v>462</v>
      </c>
      <c r="D281" s="91" t="s">
        <v>463</v>
      </c>
      <c r="E281" s="92" t="s">
        <v>27</v>
      </c>
      <c r="F281" s="92" t="s">
        <v>97</v>
      </c>
      <c r="G281" s="93">
        <v>15</v>
      </c>
      <c r="H281" s="93" t="s">
        <v>464</v>
      </c>
      <c r="I281" s="93">
        <f t="shared" si="42"/>
        <v>13.59</v>
      </c>
      <c r="J281" s="93">
        <f t="shared" si="43"/>
        <v>203.85</v>
      </c>
    </row>
    <row r="282" spans="2:10" ht="38.25">
      <c r="B282" s="397" t="s">
        <v>1541</v>
      </c>
      <c r="C282" s="92" t="s">
        <v>952</v>
      </c>
      <c r="D282" s="91" t="s">
        <v>953</v>
      </c>
      <c r="E282" s="92" t="s">
        <v>27</v>
      </c>
      <c r="F282" s="92" t="s">
        <v>33</v>
      </c>
      <c r="G282" s="93">
        <v>20</v>
      </c>
      <c r="H282" s="93">
        <v>4.92</v>
      </c>
      <c r="I282" s="93">
        <f t="shared" si="42"/>
        <v>6.31</v>
      </c>
      <c r="J282" s="93">
        <f t="shared" si="43"/>
        <v>126.2</v>
      </c>
    </row>
    <row r="283" spans="2:10" ht="25.5">
      <c r="B283" s="397" t="s">
        <v>1542</v>
      </c>
      <c r="C283" s="92" t="s">
        <v>966</v>
      </c>
      <c r="D283" s="91" t="s">
        <v>967</v>
      </c>
      <c r="E283" s="92" t="s">
        <v>27</v>
      </c>
      <c r="F283" s="92" t="s">
        <v>33</v>
      </c>
      <c r="G283" s="93">
        <v>5</v>
      </c>
      <c r="H283" s="93">
        <v>11.06</v>
      </c>
      <c r="I283" s="93">
        <f t="shared" si="42"/>
        <v>14.18</v>
      </c>
      <c r="J283" s="93">
        <f t="shared" si="43"/>
        <v>70.900000000000006</v>
      </c>
    </row>
    <row r="284" spans="2:10" ht="38.25">
      <c r="B284" s="397" t="s">
        <v>1543</v>
      </c>
      <c r="C284" s="92" t="s">
        <v>958</v>
      </c>
      <c r="D284" s="91" t="s">
        <v>959</v>
      </c>
      <c r="E284" s="92" t="s">
        <v>27</v>
      </c>
      <c r="F284" s="92" t="s">
        <v>33</v>
      </c>
      <c r="G284" s="93">
        <v>9</v>
      </c>
      <c r="H284" s="93">
        <v>12.53</v>
      </c>
      <c r="I284" s="93">
        <f t="shared" si="42"/>
        <v>16.07</v>
      </c>
      <c r="J284" s="93">
        <f t="shared" si="43"/>
        <v>144.63</v>
      </c>
    </row>
    <row r="285" spans="2:10" ht="25.5">
      <c r="B285" s="397" t="s">
        <v>1544</v>
      </c>
      <c r="C285" s="92" t="s">
        <v>970</v>
      </c>
      <c r="D285" s="91" t="s">
        <v>971</v>
      </c>
      <c r="E285" s="92" t="s">
        <v>27</v>
      </c>
      <c r="F285" s="92" t="s">
        <v>33</v>
      </c>
      <c r="G285" s="93">
        <v>3</v>
      </c>
      <c r="H285" s="93">
        <v>21.29</v>
      </c>
      <c r="I285" s="93">
        <f t="shared" si="42"/>
        <v>27.3</v>
      </c>
      <c r="J285" s="93">
        <f t="shared" si="43"/>
        <v>81.900000000000006</v>
      </c>
    </row>
    <row r="286" spans="2:10">
      <c r="B286" s="397" t="s">
        <v>1545</v>
      </c>
      <c r="C286" s="311" t="s">
        <v>1137</v>
      </c>
      <c r="D286" s="286" t="s">
        <v>1140</v>
      </c>
      <c r="E286" s="100" t="s">
        <v>21</v>
      </c>
      <c r="F286" s="92" t="s">
        <v>433</v>
      </c>
      <c r="G286" s="93">
        <v>27.5</v>
      </c>
      <c r="H286" s="93">
        <f>'COMPOSICOES AMPLIAÇÃO'!G1007</f>
        <v>14.129999999999999</v>
      </c>
      <c r="I286" s="93">
        <f t="shared" si="42"/>
        <v>18.12</v>
      </c>
      <c r="J286" s="93">
        <f t="shared" si="43"/>
        <v>498.3</v>
      </c>
    </row>
    <row r="287" spans="2:10">
      <c r="B287" s="397" t="s">
        <v>1546</v>
      </c>
      <c r="C287" s="311" t="s">
        <v>1138</v>
      </c>
      <c r="D287" s="286" t="s">
        <v>1136</v>
      </c>
      <c r="E287" s="100" t="s">
        <v>21</v>
      </c>
      <c r="F287" s="92" t="s">
        <v>33</v>
      </c>
      <c r="G287" s="93">
        <v>22</v>
      </c>
      <c r="H287" s="93">
        <f>'COMPOSICOES AMPLIAÇÃO'!G1065</f>
        <v>32.36</v>
      </c>
      <c r="I287" s="93">
        <f t="shared" si="42"/>
        <v>41.49</v>
      </c>
      <c r="J287" s="93">
        <f t="shared" si="43"/>
        <v>912.78</v>
      </c>
    </row>
    <row r="288" spans="2:10" ht="12.75" customHeight="1">
      <c r="B288" s="398" t="s">
        <v>1547</v>
      </c>
      <c r="C288" s="620" t="s">
        <v>465</v>
      </c>
      <c r="D288" s="621"/>
      <c r="E288" s="81" t="s">
        <v>18</v>
      </c>
      <c r="F288" s="89"/>
      <c r="G288" s="89"/>
      <c r="H288" s="181"/>
      <c r="I288" s="87"/>
      <c r="J288" s="88">
        <f>SUM(J289:J290)</f>
        <v>4811.76</v>
      </c>
    </row>
    <row r="289" spans="2:10" ht="25.5">
      <c r="B289" s="397" t="s">
        <v>1548</v>
      </c>
      <c r="C289" s="311" t="s">
        <v>1230</v>
      </c>
      <c r="D289" s="286" t="s">
        <v>1229</v>
      </c>
      <c r="E289" s="100" t="s">
        <v>1212</v>
      </c>
      <c r="F289" s="92" t="s">
        <v>33</v>
      </c>
      <c r="G289" s="344">
        <f>'MEMORIA DE CALCULO AMPLIAÇÃO'!E446</f>
        <v>4</v>
      </c>
      <c r="H289" s="344">
        <v>564.24</v>
      </c>
      <c r="I289" s="344">
        <f>ROUND($H289*(1+$G$14),2)</f>
        <v>723.47</v>
      </c>
      <c r="J289" s="344">
        <f>ROUND(G289*I289,2)</f>
        <v>2893.88</v>
      </c>
    </row>
    <row r="290" spans="2:10" ht="25.5">
      <c r="B290" s="277" t="s">
        <v>1549</v>
      </c>
      <c r="C290" s="311" t="s">
        <v>1233</v>
      </c>
      <c r="D290" s="286" t="s">
        <v>1232</v>
      </c>
      <c r="E290" s="100" t="s">
        <v>1212</v>
      </c>
      <c r="F290" s="92" t="s">
        <v>33</v>
      </c>
      <c r="G290" s="93">
        <f>'MEMORIA DE CALCULO AMPLIAÇÃO'!E447</f>
        <v>4</v>
      </c>
      <c r="H290" s="93">
        <v>373.94</v>
      </c>
      <c r="I290" s="93">
        <f>ROUND($H290*(1+$G$14),2)</f>
        <v>479.47</v>
      </c>
      <c r="J290" s="93">
        <f>ROUND(G290*I290,2)</f>
        <v>1917.88</v>
      </c>
    </row>
    <row r="291" spans="2:10" ht="12.75" customHeight="1">
      <c r="B291" s="398" t="s">
        <v>1550</v>
      </c>
      <c r="C291" s="620" t="s">
        <v>466</v>
      </c>
      <c r="D291" s="621"/>
      <c r="E291" s="80" t="s">
        <v>18</v>
      </c>
      <c r="F291" s="89"/>
      <c r="G291" s="89"/>
      <c r="H291" s="181"/>
      <c r="I291" s="90"/>
      <c r="J291" s="88">
        <f>SUM(J292:J298)</f>
        <v>12898.56</v>
      </c>
    </row>
    <row r="292" spans="2:10" ht="38.25">
      <c r="B292" s="397" t="s">
        <v>1551</v>
      </c>
      <c r="C292" s="92" t="s">
        <v>920</v>
      </c>
      <c r="D292" s="91" t="s">
        <v>921</v>
      </c>
      <c r="E292" s="92" t="s">
        <v>27</v>
      </c>
      <c r="F292" s="92" t="s">
        <v>33</v>
      </c>
      <c r="G292" s="93">
        <v>12</v>
      </c>
      <c r="H292" s="93">
        <v>48.64</v>
      </c>
      <c r="I292" s="93">
        <f t="shared" ref="I292:I298" si="44">ROUND($H292*(1+$G$14),2)</f>
        <v>62.37</v>
      </c>
      <c r="J292" s="93">
        <f t="shared" ref="J292:J298" si="45">ROUND(G292*I292,2)</f>
        <v>748.44</v>
      </c>
    </row>
    <row r="293" spans="2:10" ht="25.5">
      <c r="B293" s="397" t="s">
        <v>1552</v>
      </c>
      <c r="C293" s="92" t="s">
        <v>467</v>
      </c>
      <c r="D293" s="91" t="s">
        <v>468</v>
      </c>
      <c r="E293" s="92" t="s">
        <v>27</v>
      </c>
      <c r="F293" s="92" t="s">
        <v>97</v>
      </c>
      <c r="G293" s="93">
        <v>80</v>
      </c>
      <c r="H293" s="93" t="s">
        <v>469</v>
      </c>
      <c r="I293" s="93">
        <f t="shared" si="44"/>
        <v>53.84</v>
      </c>
      <c r="J293" s="93">
        <f t="shared" si="45"/>
        <v>4307.2</v>
      </c>
    </row>
    <row r="294" spans="2:10" ht="25.5">
      <c r="B294" s="397" t="s">
        <v>1553</v>
      </c>
      <c r="C294" s="92" t="s">
        <v>470</v>
      </c>
      <c r="D294" s="91" t="s">
        <v>471</v>
      </c>
      <c r="E294" s="92" t="s">
        <v>27</v>
      </c>
      <c r="F294" s="92" t="s">
        <v>97</v>
      </c>
      <c r="G294" s="93">
        <v>80</v>
      </c>
      <c r="H294" s="93" t="s">
        <v>472</v>
      </c>
      <c r="I294" s="93">
        <f t="shared" si="44"/>
        <v>65.260000000000005</v>
      </c>
      <c r="J294" s="93">
        <f t="shared" si="45"/>
        <v>5220.8</v>
      </c>
    </row>
    <row r="295" spans="2:10" ht="25.5">
      <c r="B295" s="397" t="s">
        <v>1554</v>
      </c>
      <c r="C295" s="92" t="s">
        <v>900</v>
      </c>
      <c r="D295" s="91" t="s">
        <v>901</v>
      </c>
      <c r="E295" s="92" t="s">
        <v>27</v>
      </c>
      <c r="F295" s="92" t="s">
        <v>33</v>
      </c>
      <c r="G295" s="93">
        <v>8</v>
      </c>
      <c r="H295" s="93">
        <v>12.21</v>
      </c>
      <c r="I295" s="93">
        <f t="shared" si="44"/>
        <v>15.66</v>
      </c>
      <c r="J295" s="93">
        <f t="shared" si="45"/>
        <v>125.28</v>
      </c>
    </row>
    <row r="296" spans="2:10" ht="25.5">
      <c r="B296" s="397" t="s">
        <v>1555</v>
      </c>
      <c r="C296" s="92" t="s">
        <v>473</v>
      </c>
      <c r="D296" s="91" t="s">
        <v>474</v>
      </c>
      <c r="E296" s="92" t="s">
        <v>27</v>
      </c>
      <c r="F296" s="92" t="s">
        <v>33</v>
      </c>
      <c r="G296" s="93">
        <v>8</v>
      </c>
      <c r="H296" s="93" t="s">
        <v>475</v>
      </c>
      <c r="I296" s="93">
        <f t="shared" si="44"/>
        <v>18.72</v>
      </c>
      <c r="J296" s="93">
        <f t="shared" si="45"/>
        <v>149.76</v>
      </c>
    </row>
    <row r="297" spans="2:10" ht="25.5">
      <c r="B297" s="397" t="s">
        <v>1556</v>
      </c>
      <c r="C297" s="92" t="s">
        <v>476</v>
      </c>
      <c r="D297" s="91" t="s">
        <v>477</v>
      </c>
      <c r="E297" s="92" t="s">
        <v>27</v>
      </c>
      <c r="F297" s="92" t="s">
        <v>33</v>
      </c>
      <c r="G297" s="93">
        <v>12</v>
      </c>
      <c r="H297" s="93" t="s">
        <v>478</v>
      </c>
      <c r="I297" s="93">
        <f t="shared" si="44"/>
        <v>25.12</v>
      </c>
      <c r="J297" s="93">
        <f t="shared" si="45"/>
        <v>301.44</v>
      </c>
    </row>
    <row r="298" spans="2:10" ht="63.75">
      <c r="B298" s="397" t="s">
        <v>1557</v>
      </c>
      <c r="C298" s="100" t="s">
        <v>479</v>
      </c>
      <c r="D298" s="91" t="s">
        <v>480</v>
      </c>
      <c r="E298" s="92" t="s">
        <v>27</v>
      </c>
      <c r="F298" s="92" t="s">
        <v>33</v>
      </c>
      <c r="G298" s="93">
        <v>12</v>
      </c>
      <c r="H298" s="93" t="s">
        <v>481</v>
      </c>
      <c r="I298" s="93">
        <f t="shared" si="44"/>
        <v>170.47</v>
      </c>
      <c r="J298" s="93">
        <f t="shared" si="45"/>
        <v>2045.64</v>
      </c>
    </row>
    <row r="299" spans="2:10" ht="12.75" customHeight="1">
      <c r="B299" s="398" t="s">
        <v>1558</v>
      </c>
      <c r="C299" s="620" t="s">
        <v>482</v>
      </c>
      <c r="D299" s="621"/>
      <c r="E299" s="81" t="s">
        <v>18</v>
      </c>
      <c r="F299" s="89"/>
      <c r="G299" s="89"/>
      <c r="H299" s="181"/>
      <c r="I299" s="87"/>
      <c r="J299" s="88">
        <f>J300</f>
        <v>91275.520000000004</v>
      </c>
    </row>
    <row r="300" spans="2:10" ht="12.75" customHeight="1">
      <c r="B300" s="400" t="s">
        <v>1559</v>
      </c>
      <c r="C300" s="624" t="s">
        <v>1256</v>
      </c>
      <c r="D300" s="619"/>
      <c r="E300" s="83" t="s">
        <v>18</v>
      </c>
      <c r="F300" s="96"/>
      <c r="G300" s="96"/>
      <c r="H300" s="93"/>
      <c r="I300" s="214"/>
      <c r="J300" s="213">
        <f>J301</f>
        <v>91275.520000000004</v>
      </c>
    </row>
    <row r="301" spans="2:10" ht="191.25">
      <c r="B301" s="397" t="s">
        <v>1560</v>
      </c>
      <c r="C301" s="100" t="s">
        <v>1235</v>
      </c>
      <c r="D301" s="286" t="s">
        <v>1234</v>
      </c>
      <c r="E301" s="100" t="s">
        <v>1212</v>
      </c>
      <c r="F301" s="92" t="s">
        <v>33</v>
      </c>
      <c r="G301" s="93">
        <f>'MEMORIA DE CALCULO AMPLIAÇÃO'!J453</f>
        <v>1</v>
      </c>
      <c r="H301" s="93">
        <v>80052.2</v>
      </c>
      <c r="I301" s="93">
        <f>ROUND($H301*(1+$H$14),2)</f>
        <v>91275.520000000004</v>
      </c>
      <c r="J301" s="93">
        <f>ROUND(G301*I301,2)</f>
        <v>91275.520000000004</v>
      </c>
    </row>
    <row r="302" spans="2:10" ht="12.75" customHeight="1">
      <c r="B302" s="398" t="s">
        <v>1561</v>
      </c>
      <c r="C302" s="620" t="s">
        <v>483</v>
      </c>
      <c r="D302" s="621"/>
      <c r="E302" s="81" t="s">
        <v>18</v>
      </c>
      <c r="F302" s="89"/>
      <c r="G302" s="89"/>
      <c r="H302" s="181"/>
      <c r="I302" s="87"/>
      <c r="J302" s="88">
        <f>J303</f>
        <v>1500.34</v>
      </c>
    </row>
    <row r="303" spans="2:10">
      <c r="B303" s="397" t="s">
        <v>1562</v>
      </c>
      <c r="C303" s="92" t="s">
        <v>484</v>
      </c>
      <c r="D303" s="91" t="s">
        <v>485</v>
      </c>
      <c r="E303" s="92" t="s">
        <v>27</v>
      </c>
      <c r="F303" s="92" t="s">
        <v>28</v>
      </c>
      <c r="G303" s="93">
        <f>'MEMORIA DE CALCULO AMPLIAÇÃO'!J456</f>
        <v>559.83000000000004</v>
      </c>
      <c r="H303" s="93" t="s">
        <v>486</v>
      </c>
      <c r="I303" s="93">
        <f>ROUND($H303*(1+$G$14),2)</f>
        <v>2.68</v>
      </c>
      <c r="J303" s="93">
        <f>ROUND(G303*I303,2)</f>
        <v>1500.34</v>
      </c>
    </row>
    <row r="304" spans="2:10">
      <c r="B304" s="362"/>
      <c r="C304" s="363"/>
      <c r="D304" s="362"/>
      <c r="E304" s="363"/>
      <c r="F304" s="363"/>
      <c r="G304" s="364"/>
      <c r="H304" s="364"/>
      <c r="I304" s="364"/>
      <c r="J304" s="364"/>
    </row>
    <row r="305" spans="2:10" ht="12.75" customHeight="1">
      <c r="B305" s="86" t="s">
        <v>1563</v>
      </c>
      <c r="C305" s="616" t="s">
        <v>1257</v>
      </c>
      <c r="D305" s="621"/>
      <c r="E305" s="81" t="s">
        <v>18</v>
      </c>
      <c r="F305" s="89"/>
      <c r="G305" s="89"/>
      <c r="H305" s="181"/>
      <c r="I305" s="87"/>
      <c r="J305" s="88">
        <f>SUM(J306:J314)</f>
        <v>50378.180000000008</v>
      </c>
    </row>
    <row r="306" spans="2:10" ht="25.5">
      <c r="B306" s="358" t="s">
        <v>1564</v>
      </c>
      <c r="C306" s="92" t="s">
        <v>910</v>
      </c>
      <c r="D306" s="358" t="s">
        <v>1258</v>
      </c>
      <c r="E306" s="92" t="s">
        <v>27</v>
      </c>
      <c r="F306" s="100" t="s">
        <v>610</v>
      </c>
      <c r="G306" s="359">
        <f>'MEMORIA DE CALCULO AMPLIAÇÃO'!J460</f>
        <v>639.4</v>
      </c>
      <c r="H306" s="359">
        <v>6.85</v>
      </c>
      <c r="I306" s="359">
        <f t="shared" ref="I306:I314" si="46">ROUND($H306*(1+$G$14),2)</f>
        <v>8.7799999999999994</v>
      </c>
      <c r="J306" s="359">
        <f t="shared" ref="J306" si="47">ROUND(G306*I306,2)</f>
        <v>5613.93</v>
      </c>
    </row>
    <row r="307" spans="2:10">
      <c r="B307" s="396" t="s">
        <v>1565</v>
      </c>
      <c r="C307" s="92" t="s">
        <v>1259</v>
      </c>
      <c r="D307" s="358" t="s">
        <v>1270</v>
      </c>
      <c r="E307" s="92" t="s">
        <v>21</v>
      </c>
      <c r="F307" s="92" t="s">
        <v>610</v>
      </c>
      <c r="G307" s="359">
        <f>'MEMORIA DE CALCULO AMPLIAÇÃO'!J466</f>
        <v>252.39000000000001</v>
      </c>
      <c r="H307" s="359">
        <f>'COMPOSICOES AMPLIAÇÃO'!G1225</f>
        <v>9.5</v>
      </c>
      <c r="I307" s="359">
        <f t="shared" si="46"/>
        <v>12.18</v>
      </c>
      <c r="J307" s="359">
        <f t="shared" ref="J307:J310" si="48">ROUND(G307*I307,2)</f>
        <v>3074.11</v>
      </c>
    </row>
    <row r="308" spans="2:10" ht="25.5">
      <c r="B308" s="396" t="s">
        <v>1566</v>
      </c>
      <c r="C308" s="92" t="s">
        <v>1276</v>
      </c>
      <c r="D308" s="358" t="s">
        <v>1277</v>
      </c>
      <c r="E308" s="92" t="s">
        <v>27</v>
      </c>
      <c r="F308" s="92" t="s">
        <v>28</v>
      </c>
      <c r="G308" s="359">
        <f>'MEMORIA DE CALCULO AMPLIAÇÃO'!J470</f>
        <v>639.4</v>
      </c>
      <c r="H308" s="359">
        <v>2.93</v>
      </c>
      <c r="I308" s="359">
        <f t="shared" si="46"/>
        <v>3.76</v>
      </c>
      <c r="J308" s="359">
        <f t="shared" si="48"/>
        <v>2404.14</v>
      </c>
    </row>
    <row r="309" spans="2:10" ht="63.75">
      <c r="B309" s="396" t="s">
        <v>1567</v>
      </c>
      <c r="C309" s="92">
        <v>87529</v>
      </c>
      <c r="D309" s="277" t="s">
        <v>925</v>
      </c>
      <c r="E309" s="92" t="s">
        <v>27</v>
      </c>
      <c r="F309" s="92" t="s">
        <v>28</v>
      </c>
      <c r="G309" s="359">
        <f>'MEMORIA DE CALCULO AMPLIAÇÃO'!J476</f>
        <v>639.4</v>
      </c>
      <c r="H309" s="359">
        <v>22.41</v>
      </c>
      <c r="I309" s="359">
        <f t="shared" si="46"/>
        <v>28.73</v>
      </c>
      <c r="J309" s="359">
        <f t="shared" si="48"/>
        <v>18369.96</v>
      </c>
    </row>
    <row r="310" spans="2:10" ht="38.25">
      <c r="B310" s="396" t="s">
        <v>1568</v>
      </c>
      <c r="C310" s="92">
        <v>95468</v>
      </c>
      <c r="D310" s="358" t="s">
        <v>978</v>
      </c>
      <c r="E310" s="92" t="s">
        <v>27</v>
      </c>
      <c r="F310" s="92" t="s">
        <v>28</v>
      </c>
      <c r="G310" s="359">
        <f>'MEMORIA DE CALCULO AMPLIAÇÃO'!J482</f>
        <v>252.39000000000001</v>
      </c>
      <c r="H310" s="359">
        <v>32.65</v>
      </c>
      <c r="I310" s="359">
        <f t="shared" si="46"/>
        <v>41.86</v>
      </c>
      <c r="J310" s="359">
        <f t="shared" si="48"/>
        <v>10565.05</v>
      </c>
    </row>
    <row r="311" spans="2:10" ht="25.5">
      <c r="B311" s="396" t="s">
        <v>1569</v>
      </c>
      <c r="C311" s="92" t="s">
        <v>929</v>
      </c>
      <c r="D311" s="358" t="s">
        <v>930</v>
      </c>
      <c r="E311" s="92" t="s">
        <v>1060</v>
      </c>
      <c r="F311" s="92" t="s">
        <v>543</v>
      </c>
      <c r="G311" s="359">
        <f>'MEMORIA DE CALCULO AMPLIAÇÃO'!J486</f>
        <v>639.4</v>
      </c>
      <c r="H311" s="359">
        <v>2.2599999999999998</v>
      </c>
      <c r="I311" s="359">
        <f t="shared" si="46"/>
        <v>2.9</v>
      </c>
      <c r="J311" s="359">
        <f t="shared" ref="J311:J314" si="49">ROUND(G311*I311,2)</f>
        <v>1854.26</v>
      </c>
    </row>
    <row r="312" spans="2:10" ht="25.5">
      <c r="B312" s="396" t="s">
        <v>1570</v>
      </c>
      <c r="C312" s="92" t="s">
        <v>932</v>
      </c>
      <c r="D312" s="358" t="s">
        <v>933</v>
      </c>
      <c r="E312" s="92" t="s">
        <v>27</v>
      </c>
      <c r="F312" s="92" t="s">
        <v>28</v>
      </c>
      <c r="G312" s="359">
        <f>'MEMORIA DE CALCULO AMPLIAÇÃO'!J492</f>
        <v>639.4</v>
      </c>
      <c r="H312" s="359">
        <v>9.73</v>
      </c>
      <c r="I312" s="359">
        <f t="shared" si="46"/>
        <v>12.48</v>
      </c>
      <c r="J312" s="359">
        <f t="shared" si="49"/>
        <v>7979.71</v>
      </c>
    </row>
    <row r="313" spans="2:10" ht="25.5">
      <c r="B313" s="396" t="s">
        <v>1571</v>
      </c>
      <c r="C313" s="92">
        <v>72897</v>
      </c>
      <c r="D313" s="286" t="s">
        <v>903</v>
      </c>
      <c r="E313" s="100" t="s">
        <v>1060</v>
      </c>
      <c r="F313" s="92" t="s">
        <v>41</v>
      </c>
      <c r="G313" s="285">
        <f>'MEMORIA DE CALCULO AMPLIAÇÃO'!J498</f>
        <v>16.624400000000001</v>
      </c>
      <c r="H313" s="359">
        <v>19.29</v>
      </c>
      <c r="I313" s="359">
        <f t="shared" si="46"/>
        <v>24.73</v>
      </c>
      <c r="J313" s="359">
        <f t="shared" si="49"/>
        <v>411.12</v>
      </c>
    </row>
    <row r="314" spans="2:10" ht="25.5">
      <c r="B314" s="396" t="s">
        <v>1572</v>
      </c>
      <c r="C314" s="92">
        <v>72900</v>
      </c>
      <c r="D314" s="286" t="s">
        <v>904</v>
      </c>
      <c r="E314" s="100" t="s">
        <v>1060</v>
      </c>
      <c r="F314" s="92" t="s">
        <v>41</v>
      </c>
      <c r="G314" s="285">
        <f>'MEMORIA DE CALCULO AMPLIAÇÃO'!J501</f>
        <v>16.624400000000001</v>
      </c>
      <c r="H314" s="359">
        <v>4.97</v>
      </c>
      <c r="I314" s="359">
        <f t="shared" si="46"/>
        <v>6.37</v>
      </c>
      <c r="J314" s="359">
        <f t="shared" si="49"/>
        <v>105.9</v>
      </c>
    </row>
    <row r="315" spans="2:10">
      <c r="B315" s="358"/>
      <c r="C315" s="92"/>
      <c r="D315" s="358"/>
      <c r="E315" s="92"/>
      <c r="F315" s="92"/>
      <c r="G315" s="359"/>
      <c r="H315" s="359"/>
      <c r="I315" s="359"/>
      <c r="J315" s="359"/>
    </row>
    <row r="316" spans="2:10">
      <c r="B316" s="358"/>
      <c r="C316" s="92"/>
      <c r="D316" s="358"/>
      <c r="E316" s="92"/>
      <c r="F316" s="92"/>
      <c r="G316" s="359"/>
      <c r="H316" s="359"/>
      <c r="I316" s="359"/>
      <c r="J316" s="359"/>
    </row>
    <row r="317" spans="2:10">
      <c r="B317" s="362"/>
      <c r="C317" s="363"/>
      <c r="D317" s="362"/>
      <c r="E317" s="363"/>
      <c r="F317" s="363"/>
      <c r="G317" s="364"/>
      <c r="H317" s="364"/>
      <c r="I317" s="364"/>
      <c r="J317" s="364"/>
    </row>
    <row r="318" spans="2:10" ht="12.75" customHeight="1">
      <c r="B318" s="391" t="s">
        <v>1573</v>
      </c>
      <c r="C318" s="625" t="s">
        <v>1279</v>
      </c>
      <c r="D318" s="626"/>
      <c r="E318" s="81" t="s">
        <v>18</v>
      </c>
      <c r="F318" s="392"/>
      <c r="G318" s="392"/>
      <c r="H318" s="393"/>
      <c r="I318" s="394"/>
      <c r="J318" s="395">
        <f>SUM(J319)</f>
        <v>3192.56</v>
      </c>
    </row>
    <row r="319" spans="2:10" ht="38.25">
      <c r="B319" s="360" t="s">
        <v>1574</v>
      </c>
      <c r="C319" s="92" t="s">
        <v>1281</v>
      </c>
      <c r="D319" s="360" t="s">
        <v>1280</v>
      </c>
      <c r="E319" s="92" t="s">
        <v>1282</v>
      </c>
      <c r="F319" s="92" t="s">
        <v>23</v>
      </c>
      <c r="G319" s="361">
        <v>1</v>
      </c>
      <c r="H319" s="361">
        <v>2800</v>
      </c>
      <c r="I319" s="361">
        <f>ROUND($H319*(1+$H$14),2)</f>
        <v>3192.56</v>
      </c>
      <c r="J319" s="361">
        <f t="shared" ref="J319" si="50">ROUND(G319*I319,2)</f>
        <v>3192.56</v>
      </c>
    </row>
    <row r="320" spans="2:10">
      <c r="B320" s="215"/>
      <c r="C320" s="10"/>
      <c r="D320" s="10"/>
      <c r="E320" s="10"/>
      <c r="F320" s="10"/>
      <c r="G320" s="10"/>
      <c r="H320" s="10"/>
      <c r="I320" s="10"/>
      <c r="J320" s="10"/>
    </row>
    <row r="321" spans="2:12">
      <c r="B321" s="623" t="s">
        <v>1575</v>
      </c>
      <c r="C321" s="623"/>
      <c r="D321" s="623"/>
      <c r="E321" s="623"/>
      <c r="F321" s="623"/>
      <c r="G321" s="623"/>
      <c r="H321" s="623"/>
      <c r="I321" s="623"/>
      <c r="J321" s="554">
        <f>J22+J24+J31+J37+J46+J52+J56+J69+J75+J78+J89+J104+J148+J158+J184+J205+J216+J270+J274+J288+J291+J299+J302+J305+J318</f>
        <v>1877391.4100000006</v>
      </c>
    </row>
    <row r="323" spans="2:12" ht="12.75" customHeight="1">
      <c r="B323" s="549">
        <v>2</v>
      </c>
      <c r="C323" s="590" t="s">
        <v>1969</v>
      </c>
      <c r="D323" s="591"/>
      <c r="E323" s="550" t="s">
        <v>18</v>
      </c>
      <c r="F323" s="551"/>
      <c r="G323" s="551"/>
      <c r="H323" s="552"/>
      <c r="I323" s="553"/>
      <c r="J323" s="554"/>
    </row>
    <row r="324" spans="2:12" s="401" customFormat="1" ht="12.75" customHeight="1">
      <c r="B324" s="547" t="s">
        <v>541</v>
      </c>
      <c r="C324" s="592" t="s">
        <v>1712</v>
      </c>
      <c r="D324" s="593"/>
      <c r="E324" s="593"/>
      <c r="F324" s="593"/>
      <c r="G324" s="593"/>
      <c r="H324" s="593"/>
      <c r="I324" s="407"/>
      <c r="J324" s="406">
        <f>SUM(J325:J325)</f>
        <v>25633</v>
      </c>
    </row>
    <row r="325" spans="2:12" s="401" customFormat="1">
      <c r="B325" s="410" t="s">
        <v>1970</v>
      </c>
      <c r="C325" s="409" t="s">
        <v>1711</v>
      </c>
      <c r="D325" s="410" t="s">
        <v>998</v>
      </c>
      <c r="E325" s="404" t="s">
        <v>27</v>
      </c>
      <c r="F325" s="409" t="s">
        <v>1002</v>
      </c>
      <c r="G325" s="403">
        <v>100</v>
      </c>
      <c r="H325" s="403">
        <f>'COMPOSICOES REFORMA'!G65/100</f>
        <v>199.91181818181815</v>
      </c>
      <c r="I325" s="403">
        <f>ROUND($H325*(1+$G$14),2)</f>
        <v>256.33</v>
      </c>
      <c r="J325" s="403">
        <f>ROUND(G325*I325,2)</f>
        <v>25633</v>
      </c>
      <c r="L325" s="416"/>
    </row>
    <row r="326" spans="2:12" s="401" customFormat="1" ht="12.75" customHeight="1">
      <c r="B326" s="547" t="s">
        <v>544</v>
      </c>
      <c r="C326" s="592" t="s">
        <v>1710</v>
      </c>
      <c r="D326" s="593"/>
      <c r="E326" s="593"/>
      <c r="F326" s="593"/>
      <c r="G326" s="593"/>
      <c r="H326" s="593"/>
      <c r="I326" s="407"/>
      <c r="J326" s="406">
        <f>SUM(J327:J336)</f>
        <v>48163.810000000005</v>
      </c>
    </row>
    <row r="327" spans="2:12" s="401" customFormat="1">
      <c r="B327" s="410" t="s">
        <v>1971</v>
      </c>
      <c r="C327" s="404" t="s">
        <v>25</v>
      </c>
      <c r="D327" s="405" t="s">
        <v>26</v>
      </c>
      <c r="E327" s="404" t="s">
        <v>27</v>
      </c>
      <c r="F327" s="404" t="s">
        <v>28</v>
      </c>
      <c r="G327" s="403">
        <f>'MEMORIA DE CÁLCULO REFORMA'!J23</f>
        <v>6.4</v>
      </c>
      <c r="H327" s="403">
        <v>284.75</v>
      </c>
      <c r="I327" s="403">
        <f t="shared" ref="I327:I336" si="51">ROUND($H327*(1+$G$14),2)</f>
        <v>365.11</v>
      </c>
      <c r="J327" s="403">
        <f t="shared" ref="J327:J336" si="52">ROUND(G327*I327,2)</f>
        <v>2336.6999999999998</v>
      </c>
    </row>
    <row r="328" spans="2:12" s="401" customFormat="1" ht="25.5">
      <c r="B328" s="410" t="s">
        <v>1972</v>
      </c>
      <c r="C328" s="404" t="s">
        <v>1709</v>
      </c>
      <c r="D328" s="405" t="s">
        <v>1708</v>
      </c>
      <c r="E328" s="404" t="s">
        <v>27</v>
      </c>
      <c r="F328" s="404" t="s">
        <v>41</v>
      </c>
      <c r="G328" s="403">
        <f>'MEMORIA DE CÁLCULO REFORMA'!J24</f>
        <v>36.863281000000008</v>
      </c>
      <c r="H328" s="403">
        <v>77.86</v>
      </c>
      <c r="I328" s="403">
        <f t="shared" si="51"/>
        <v>99.83</v>
      </c>
      <c r="J328" s="403">
        <f t="shared" si="52"/>
        <v>3680.06</v>
      </c>
    </row>
    <row r="329" spans="2:12" s="401" customFormat="1" ht="25.5">
      <c r="B329" s="410" t="s">
        <v>1973</v>
      </c>
      <c r="C329" s="404" t="s">
        <v>910</v>
      </c>
      <c r="D329" s="405" t="s">
        <v>1258</v>
      </c>
      <c r="E329" s="404" t="s">
        <v>27</v>
      </c>
      <c r="F329" s="404" t="s">
        <v>28</v>
      </c>
      <c r="G329" s="403">
        <f>'MEMORIA DE CÁLCULO REFORMA'!J55</f>
        <v>902.23999999999955</v>
      </c>
      <c r="H329" s="403">
        <v>6.85</v>
      </c>
      <c r="I329" s="403">
        <f t="shared" si="51"/>
        <v>8.7799999999999994</v>
      </c>
      <c r="J329" s="403">
        <f t="shared" si="52"/>
        <v>7921.67</v>
      </c>
    </row>
    <row r="330" spans="2:12" s="401" customFormat="1" ht="25.5">
      <c r="B330" s="410" t="s">
        <v>1974</v>
      </c>
      <c r="C330" s="404">
        <v>85406</v>
      </c>
      <c r="D330" s="405" t="s">
        <v>1707</v>
      </c>
      <c r="E330" s="404" t="s">
        <v>27</v>
      </c>
      <c r="F330" s="404" t="s">
        <v>28</v>
      </c>
      <c r="G330" s="403">
        <f>'MEMORIA DE CÁLCULO REFORMA'!J134</f>
        <v>228.12</v>
      </c>
      <c r="H330" s="403">
        <v>38.92</v>
      </c>
      <c r="I330" s="403">
        <f t="shared" si="51"/>
        <v>49.9</v>
      </c>
      <c r="J330" s="403">
        <f t="shared" si="52"/>
        <v>11383.19</v>
      </c>
    </row>
    <row r="331" spans="2:12" s="401" customFormat="1">
      <c r="B331" s="410" t="s">
        <v>1975</v>
      </c>
      <c r="C331" s="404" t="s">
        <v>1706</v>
      </c>
      <c r="D331" s="405" t="s">
        <v>1705</v>
      </c>
      <c r="E331" s="404" t="s">
        <v>27</v>
      </c>
      <c r="F331" s="404" t="s">
        <v>28</v>
      </c>
      <c r="G331" s="403">
        <f>'MEMORIA DE CÁLCULO REFORMA'!J153</f>
        <v>445.15625</v>
      </c>
      <c r="H331" s="403">
        <v>8.2200000000000006</v>
      </c>
      <c r="I331" s="403">
        <f t="shared" si="51"/>
        <v>10.54</v>
      </c>
      <c r="J331" s="403">
        <f t="shared" si="52"/>
        <v>4691.95</v>
      </c>
    </row>
    <row r="332" spans="2:12" s="401" customFormat="1">
      <c r="B332" s="410" t="s">
        <v>1976</v>
      </c>
      <c r="C332" s="404" t="s">
        <v>1027</v>
      </c>
      <c r="D332" s="405" t="s">
        <v>1704</v>
      </c>
      <c r="E332" s="404" t="s">
        <v>27</v>
      </c>
      <c r="F332" s="404" t="s">
        <v>28</v>
      </c>
      <c r="G332" s="403">
        <f>'MEMORIA DE CÁLCULO REFORMA'!J155</f>
        <v>111.09</v>
      </c>
      <c r="H332" s="403">
        <f>'COMPOSICOES REFORMA'!G123</f>
        <v>12.46</v>
      </c>
      <c r="I332" s="403">
        <f t="shared" si="51"/>
        <v>15.98</v>
      </c>
      <c r="J332" s="403">
        <f t="shared" si="52"/>
        <v>1775.22</v>
      </c>
    </row>
    <row r="333" spans="2:12" s="401" customFormat="1" ht="25.5">
      <c r="B333" s="410" t="s">
        <v>1977</v>
      </c>
      <c r="C333" s="404" t="s">
        <v>1703</v>
      </c>
      <c r="D333" s="405" t="s">
        <v>1702</v>
      </c>
      <c r="E333" s="404" t="s">
        <v>27</v>
      </c>
      <c r="F333" s="404" t="s">
        <v>28</v>
      </c>
      <c r="G333" s="403">
        <f>'MEMORIA DE CÁLCULO REFORMA'!J161</f>
        <v>778.62469999999996</v>
      </c>
      <c r="H333" s="403">
        <v>5.48</v>
      </c>
      <c r="I333" s="403">
        <f t="shared" si="51"/>
        <v>7.03</v>
      </c>
      <c r="J333" s="403">
        <f t="shared" si="52"/>
        <v>5473.73</v>
      </c>
    </row>
    <row r="334" spans="2:12" s="401" customFormat="1">
      <c r="B334" s="410" t="s">
        <v>1978</v>
      </c>
      <c r="C334" s="404" t="s">
        <v>1700</v>
      </c>
      <c r="D334" s="405" t="s">
        <v>1699</v>
      </c>
      <c r="E334" s="404" t="s">
        <v>27</v>
      </c>
      <c r="F334" s="404" t="s">
        <v>28</v>
      </c>
      <c r="G334" s="403">
        <f>'MEMORIA DE CÁLCULO REFORMA'!J245</f>
        <v>1799.6517999999999</v>
      </c>
      <c r="H334" s="403">
        <f>'COMPOSICOES REFORMA'!G180</f>
        <v>3.6</v>
      </c>
      <c r="I334" s="403">
        <f t="shared" si="51"/>
        <v>4.62</v>
      </c>
      <c r="J334" s="403">
        <f t="shared" si="52"/>
        <v>8314.39</v>
      </c>
    </row>
    <row r="335" spans="2:12" s="401" customFormat="1" ht="25.5">
      <c r="B335" s="410" t="s">
        <v>1979</v>
      </c>
      <c r="C335" s="404">
        <v>72897</v>
      </c>
      <c r="D335" s="410" t="s">
        <v>903</v>
      </c>
      <c r="E335" s="409" t="s">
        <v>1060</v>
      </c>
      <c r="F335" s="404" t="s">
        <v>41</v>
      </c>
      <c r="G335" s="403">
        <f>'MEMORIA DE CÁLCULO REFORMA'!J418</f>
        <v>83.18</v>
      </c>
      <c r="H335" s="403">
        <v>19.29</v>
      </c>
      <c r="I335" s="403">
        <f t="shared" si="51"/>
        <v>24.73</v>
      </c>
      <c r="J335" s="403">
        <f t="shared" si="52"/>
        <v>2057.04</v>
      </c>
    </row>
    <row r="336" spans="2:12" s="401" customFormat="1" ht="25.5">
      <c r="B336" s="410" t="s">
        <v>1980</v>
      </c>
      <c r="C336" s="404">
        <v>72900</v>
      </c>
      <c r="D336" s="410" t="s">
        <v>904</v>
      </c>
      <c r="E336" s="409" t="s">
        <v>1060</v>
      </c>
      <c r="F336" s="404" t="s">
        <v>41</v>
      </c>
      <c r="G336" s="403">
        <f>G335</f>
        <v>83.18</v>
      </c>
      <c r="H336" s="403">
        <v>4.97</v>
      </c>
      <c r="I336" s="403">
        <f t="shared" si="51"/>
        <v>6.37</v>
      </c>
      <c r="J336" s="403">
        <f t="shared" si="52"/>
        <v>529.86</v>
      </c>
    </row>
    <row r="337" spans="2:10" s="401" customFormat="1">
      <c r="B337" s="410"/>
      <c r="C337" s="404"/>
      <c r="D337" s="405"/>
      <c r="E337" s="404"/>
      <c r="F337" s="404"/>
      <c r="G337" s="403"/>
      <c r="H337" s="403"/>
      <c r="I337" s="403"/>
      <c r="J337" s="403"/>
    </row>
    <row r="338" spans="2:10" s="401" customFormat="1" ht="12.75" customHeight="1">
      <c r="B338" s="547" t="s">
        <v>546</v>
      </c>
      <c r="C338" s="594" t="s">
        <v>1697</v>
      </c>
      <c r="D338" s="593"/>
      <c r="E338" s="593"/>
      <c r="F338" s="593"/>
      <c r="G338" s="593"/>
      <c r="H338" s="593"/>
      <c r="I338" s="407"/>
      <c r="J338" s="406">
        <f>J339</f>
        <v>7995.45</v>
      </c>
    </row>
    <row r="339" spans="2:10" s="401" customFormat="1" ht="12.75" customHeight="1">
      <c r="B339" s="412" t="s">
        <v>1981</v>
      </c>
      <c r="C339" s="595" t="s">
        <v>1696</v>
      </c>
      <c r="D339" s="596"/>
      <c r="E339" s="596"/>
      <c r="F339" s="596"/>
      <c r="G339" s="596"/>
      <c r="H339" s="596"/>
      <c r="I339" s="415"/>
      <c r="J339" s="411">
        <f>SUM(J340:J341)</f>
        <v>7995.45</v>
      </c>
    </row>
    <row r="340" spans="2:10" s="401" customFormat="1" ht="38.25">
      <c r="B340" s="410" t="s">
        <v>1982</v>
      </c>
      <c r="C340" s="404" t="s">
        <v>1695</v>
      </c>
      <c r="D340" s="405" t="s">
        <v>1694</v>
      </c>
      <c r="E340" s="404" t="s">
        <v>27</v>
      </c>
      <c r="F340" s="404" t="s">
        <v>28</v>
      </c>
      <c r="G340" s="403">
        <f>'MEMORIA DE CÁLCULO REFORMA'!J423</f>
        <v>93.767400000000009</v>
      </c>
      <c r="H340" s="403">
        <v>50.82</v>
      </c>
      <c r="I340" s="403">
        <f>ROUND($H340*(1+$G$14),2)</f>
        <v>65.16</v>
      </c>
      <c r="J340" s="403">
        <f>ROUND(G340*I340,2)</f>
        <v>6109.88</v>
      </c>
    </row>
    <row r="341" spans="2:10" s="401" customFormat="1" ht="51">
      <c r="B341" s="410" t="s">
        <v>1983</v>
      </c>
      <c r="C341" s="404">
        <v>96368</v>
      </c>
      <c r="D341" s="405" t="s">
        <v>1693</v>
      </c>
      <c r="E341" s="404" t="s">
        <v>1060</v>
      </c>
      <c r="F341" s="404" t="s">
        <v>543</v>
      </c>
      <c r="G341" s="403">
        <f>'MEMORIA DE CÁLCULO REFORMA'!J443</f>
        <v>14.04</v>
      </c>
      <c r="H341" s="403">
        <v>104.74</v>
      </c>
      <c r="I341" s="403">
        <f>ROUND($H341*(1+$G$14),2)</f>
        <v>134.30000000000001</v>
      </c>
      <c r="J341" s="403">
        <f>ROUND(G341*I341,2)</f>
        <v>1885.57</v>
      </c>
    </row>
    <row r="342" spans="2:10" s="401" customFormat="1" ht="12.75" customHeight="1">
      <c r="B342" s="547" t="s">
        <v>548</v>
      </c>
      <c r="C342" s="592" t="s">
        <v>1692</v>
      </c>
      <c r="D342" s="593"/>
      <c r="E342" s="593"/>
      <c r="F342" s="593"/>
      <c r="G342" s="593"/>
      <c r="H342" s="593"/>
      <c r="I342" s="407"/>
      <c r="J342" s="406">
        <f>J343</f>
        <v>52047.18</v>
      </c>
    </row>
    <row r="343" spans="2:10" s="401" customFormat="1" ht="12.75" customHeight="1">
      <c r="B343" s="548" t="s">
        <v>1984</v>
      </c>
      <c r="C343" s="595" t="s">
        <v>1691</v>
      </c>
      <c r="D343" s="596"/>
      <c r="E343" s="596"/>
      <c r="F343" s="596"/>
      <c r="G343" s="596"/>
      <c r="H343" s="596"/>
      <c r="I343" s="415"/>
      <c r="J343" s="411">
        <f>SUM(J344:J351)</f>
        <v>52047.18</v>
      </c>
    </row>
    <row r="344" spans="2:10" s="401" customFormat="1" ht="63.75">
      <c r="B344" s="410" t="s">
        <v>1985</v>
      </c>
      <c r="C344" s="404">
        <v>91318</v>
      </c>
      <c r="D344" s="410" t="s">
        <v>1690</v>
      </c>
      <c r="E344" s="404" t="s">
        <v>27</v>
      </c>
      <c r="F344" s="404" t="s">
        <v>33</v>
      </c>
      <c r="G344" s="403">
        <f>'MEMORIA DE CÁLCULO REFORMA'!J448</f>
        <v>14</v>
      </c>
      <c r="H344" s="403">
        <v>469.21</v>
      </c>
      <c r="I344" s="403">
        <f t="shared" ref="I344:I351" si="53">ROUND($H344*(1+$G$14),2)</f>
        <v>601.62</v>
      </c>
      <c r="J344" s="403">
        <f t="shared" ref="J344:J351" si="54">ROUND(G344*I344,2)</f>
        <v>8422.68</v>
      </c>
    </row>
    <row r="345" spans="2:10" s="401" customFormat="1" ht="63.75">
      <c r="B345" s="410" t="s">
        <v>1986</v>
      </c>
      <c r="C345" s="404">
        <v>91319</v>
      </c>
      <c r="D345" s="410" t="s">
        <v>1689</v>
      </c>
      <c r="E345" s="404" t="s">
        <v>27</v>
      </c>
      <c r="F345" s="404" t="s">
        <v>33</v>
      </c>
      <c r="G345" s="403">
        <f>'MEMORIA DE CÁLCULO REFORMA'!J449</f>
        <v>5</v>
      </c>
      <c r="H345" s="403">
        <v>482.93</v>
      </c>
      <c r="I345" s="403">
        <f t="shared" si="53"/>
        <v>619.21</v>
      </c>
      <c r="J345" s="403">
        <f t="shared" si="54"/>
        <v>3096.05</v>
      </c>
    </row>
    <row r="346" spans="2:10" s="401" customFormat="1" ht="63.75">
      <c r="B346" s="410" t="s">
        <v>1987</v>
      </c>
      <c r="C346" s="404">
        <v>91320</v>
      </c>
      <c r="D346" s="410" t="s">
        <v>1688</v>
      </c>
      <c r="E346" s="404" t="s">
        <v>27</v>
      </c>
      <c r="F346" s="404" t="s">
        <v>33</v>
      </c>
      <c r="G346" s="403">
        <f>'MEMORIA DE CÁLCULO REFORMA'!J450</f>
        <v>42</v>
      </c>
      <c r="H346" s="403">
        <v>513.13</v>
      </c>
      <c r="I346" s="403">
        <f t="shared" si="53"/>
        <v>657.94</v>
      </c>
      <c r="J346" s="403">
        <f t="shared" si="54"/>
        <v>27633.48</v>
      </c>
    </row>
    <row r="347" spans="2:10" s="401" customFormat="1" ht="63.75">
      <c r="B347" s="410" t="s">
        <v>1988</v>
      </c>
      <c r="C347" s="404">
        <v>91321</v>
      </c>
      <c r="D347" s="410" t="s">
        <v>1687</v>
      </c>
      <c r="E347" s="404" t="s">
        <v>27</v>
      </c>
      <c r="F347" s="404" t="s">
        <v>33</v>
      </c>
      <c r="G347" s="403">
        <v>4</v>
      </c>
      <c r="H347" s="403">
        <v>538.97</v>
      </c>
      <c r="I347" s="403">
        <f t="shared" si="53"/>
        <v>691.07</v>
      </c>
      <c r="J347" s="403">
        <f t="shared" si="54"/>
        <v>2764.28</v>
      </c>
    </row>
    <row r="348" spans="2:10" s="401" customFormat="1" ht="25.5">
      <c r="B348" s="410" t="s">
        <v>1989</v>
      </c>
      <c r="C348" s="404">
        <v>84876</v>
      </c>
      <c r="D348" s="410" t="s">
        <v>1686</v>
      </c>
      <c r="E348" s="404" t="s">
        <v>1060</v>
      </c>
      <c r="F348" s="404" t="s">
        <v>543</v>
      </c>
      <c r="G348" s="403">
        <f>'MEMORIA DE CÁLCULO REFORMA'!J452</f>
        <v>1.6800000000000002</v>
      </c>
      <c r="H348" s="403">
        <v>524.45000000000005</v>
      </c>
      <c r="I348" s="403">
        <f t="shared" si="53"/>
        <v>672.45</v>
      </c>
      <c r="J348" s="403">
        <f t="shared" si="54"/>
        <v>1129.72</v>
      </c>
    </row>
    <row r="349" spans="2:10" s="401" customFormat="1" ht="38.25">
      <c r="B349" s="410" t="s">
        <v>1990</v>
      </c>
      <c r="C349" s="404">
        <v>91341</v>
      </c>
      <c r="D349" s="410" t="s">
        <v>1685</v>
      </c>
      <c r="E349" s="404" t="s">
        <v>1060</v>
      </c>
      <c r="F349" s="404" t="s">
        <v>543</v>
      </c>
      <c r="G349" s="403">
        <f>'MEMORIA DE CÁLCULO REFORMA'!J453</f>
        <v>3.7800000000000002</v>
      </c>
      <c r="H349" s="403">
        <v>583.24</v>
      </c>
      <c r="I349" s="403">
        <f t="shared" si="53"/>
        <v>747.83</v>
      </c>
      <c r="J349" s="403">
        <f t="shared" si="54"/>
        <v>2826.8</v>
      </c>
    </row>
    <row r="350" spans="2:10" s="401" customFormat="1" ht="51">
      <c r="B350" s="410" t="s">
        <v>1991</v>
      </c>
      <c r="C350" s="404" t="s">
        <v>1684</v>
      </c>
      <c r="D350" s="405" t="s">
        <v>1683</v>
      </c>
      <c r="E350" s="404" t="s">
        <v>27</v>
      </c>
      <c r="F350" s="404" t="s">
        <v>33</v>
      </c>
      <c r="G350" s="403">
        <f>'MEMORIA DE CÁLCULO REFORMA'!J455</f>
        <v>66</v>
      </c>
      <c r="H350" s="403">
        <v>61.69</v>
      </c>
      <c r="I350" s="403">
        <f t="shared" si="53"/>
        <v>79.099999999999994</v>
      </c>
      <c r="J350" s="403">
        <f t="shared" si="54"/>
        <v>5220.6000000000004</v>
      </c>
    </row>
    <row r="351" spans="2:10" s="401" customFormat="1" ht="25.5">
      <c r="B351" s="410" t="s">
        <v>1992</v>
      </c>
      <c r="C351" s="404">
        <v>93188</v>
      </c>
      <c r="D351" s="405" t="s">
        <v>1682</v>
      </c>
      <c r="E351" s="404" t="s">
        <v>1060</v>
      </c>
      <c r="F351" s="404" t="s">
        <v>649</v>
      </c>
      <c r="G351" s="403">
        <f>'MEMORIA DE CÁLCULO REFORMA'!J457</f>
        <v>15.399999999999999</v>
      </c>
      <c r="H351" s="403">
        <v>48.29</v>
      </c>
      <c r="I351" s="403">
        <f t="shared" si="53"/>
        <v>61.92</v>
      </c>
      <c r="J351" s="403">
        <f t="shared" si="54"/>
        <v>953.57</v>
      </c>
    </row>
    <row r="352" spans="2:10" s="401" customFormat="1" ht="12.75" customHeight="1">
      <c r="B352" s="547" t="s">
        <v>550</v>
      </c>
      <c r="C352" s="592" t="s">
        <v>1681</v>
      </c>
      <c r="D352" s="593"/>
      <c r="E352" s="593"/>
      <c r="F352" s="593"/>
      <c r="G352" s="593"/>
      <c r="H352" s="593"/>
      <c r="I352" s="407"/>
      <c r="J352" s="406">
        <f>J353</f>
        <v>19800.55</v>
      </c>
    </row>
    <row r="353" spans="2:10" s="401" customFormat="1" ht="63.75">
      <c r="B353" s="410" t="s">
        <v>1993</v>
      </c>
      <c r="C353" s="404" t="s">
        <v>1680</v>
      </c>
      <c r="D353" s="410" t="s">
        <v>1679</v>
      </c>
      <c r="E353" s="404" t="s">
        <v>27</v>
      </c>
      <c r="F353" s="404" t="s">
        <v>28</v>
      </c>
      <c r="G353" s="403">
        <f>'MEMORIA DE CÁLCULO REFORMA'!J464</f>
        <v>445.15625</v>
      </c>
      <c r="H353" s="403">
        <v>34.69</v>
      </c>
      <c r="I353" s="403">
        <f>ROUND($H353*(1+$G$14),2)</f>
        <v>44.48</v>
      </c>
      <c r="J353" s="403">
        <f>ROUND(G353*I353,2)</f>
        <v>19800.55</v>
      </c>
    </row>
    <row r="354" spans="2:10" s="401" customFormat="1" ht="12.75" customHeight="1">
      <c r="B354" s="547" t="s">
        <v>1154</v>
      </c>
      <c r="C354" s="594" t="s">
        <v>661</v>
      </c>
      <c r="D354" s="593"/>
      <c r="E354" s="593"/>
      <c r="F354" s="593"/>
      <c r="G354" s="593"/>
      <c r="H354" s="593"/>
      <c r="I354" s="407"/>
      <c r="J354" s="406">
        <f>SUM(J355:J357)</f>
        <v>61050.47</v>
      </c>
    </row>
    <row r="355" spans="2:10" s="401" customFormat="1" ht="25.5">
      <c r="B355" s="410" t="s">
        <v>1994</v>
      </c>
      <c r="C355" s="404" t="s">
        <v>1276</v>
      </c>
      <c r="D355" s="405" t="s">
        <v>1277</v>
      </c>
      <c r="E355" s="404" t="s">
        <v>27</v>
      </c>
      <c r="F355" s="404" t="s">
        <v>28</v>
      </c>
      <c r="G355" s="403">
        <f>'MEMORIA DE CÁLCULO REFORMA'!J467</f>
        <v>1089.7747999999997</v>
      </c>
      <c r="H355" s="403">
        <v>2.93</v>
      </c>
      <c r="I355" s="403">
        <f>ROUND($H355*(1+$G$14),2)</f>
        <v>3.76</v>
      </c>
      <c r="J355" s="403">
        <f>ROUND(G355*I355,2)</f>
        <v>4097.55</v>
      </c>
    </row>
    <row r="356" spans="2:10" s="401" customFormat="1" ht="63.75">
      <c r="B356" s="410" t="s">
        <v>1995</v>
      </c>
      <c r="C356" s="404">
        <v>87529</v>
      </c>
      <c r="D356" s="410" t="s">
        <v>925</v>
      </c>
      <c r="E356" s="404" t="s">
        <v>27</v>
      </c>
      <c r="F356" s="404" t="s">
        <v>28</v>
      </c>
      <c r="G356" s="403">
        <f>'MEMORIA DE CÁLCULO REFORMA'!J472</f>
        <v>1089.7747999999997</v>
      </c>
      <c r="H356" s="403">
        <v>22.41</v>
      </c>
      <c r="I356" s="403">
        <f>ROUND($H356*(1+$G$14),2)</f>
        <v>28.73</v>
      </c>
      <c r="J356" s="403">
        <f>ROUND(G356*I356,2)</f>
        <v>31309.23</v>
      </c>
    </row>
    <row r="357" spans="2:10" s="401" customFormat="1" ht="25.5">
      <c r="B357" s="410" t="s">
        <v>1996</v>
      </c>
      <c r="C357" s="404" t="s">
        <v>110</v>
      </c>
      <c r="D357" s="410" t="s">
        <v>663</v>
      </c>
      <c r="E357" s="404" t="s">
        <v>27</v>
      </c>
      <c r="F357" s="404" t="s">
        <v>28</v>
      </c>
      <c r="G357" s="403">
        <f>'MEMORIA DE CÁLCULO REFORMA'!J474</f>
        <v>321.43</v>
      </c>
      <c r="H357" s="403">
        <v>62.22</v>
      </c>
      <c r="I357" s="403">
        <f>ROUND($H357*(1+$G$14),2)</f>
        <v>79.78</v>
      </c>
      <c r="J357" s="403">
        <f>ROUND(G357*I357,2)</f>
        <v>25643.69</v>
      </c>
    </row>
    <row r="358" spans="2:10" s="401" customFormat="1" ht="12.75" customHeight="1">
      <c r="B358" s="547" t="s">
        <v>1918</v>
      </c>
      <c r="C358" s="592" t="s">
        <v>1678</v>
      </c>
      <c r="D358" s="593"/>
      <c r="E358" s="593"/>
      <c r="F358" s="593"/>
      <c r="G358" s="593"/>
      <c r="H358" s="593"/>
      <c r="I358" s="407"/>
      <c r="J358" s="406">
        <f>J359</f>
        <v>124434.02999999998</v>
      </c>
    </row>
    <row r="359" spans="2:10" s="401" customFormat="1" ht="12.75" customHeight="1">
      <c r="B359" s="412" t="s">
        <v>1997</v>
      </c>
      <c r="C359" s="595" t="s">
        <v>1677</v>
      </c>
      <c r="D359" s="596"/>
      <c r="E359" s="596"/>
      <c r="F359" s="596"/>
      <c r="G359" s="596"/>
      <c r="H359" s="596"/>
      <c r="I359" s="415"/>
      <c r="J359" s="411">
        <f>SUM(J360:J367)</f>
        <v>124434.02999999998</v>
      </c>
    </row>
    <row r="360" spans="2:10" s="401" customFormat="1" ht="38.25">
      <c r="B360" s="410" t="s">
        <v>1998</v>
      </c>
      <c r="C360" s="404" t="s">
        <v>119</v>
      </c>
      <c r="D360" s="405" t="s">
        <v>1676</v>
      </c>
      <c r="E360" s="404" t="s">
        <v>27</v>
      </c>
      <c r="F360" s="404" t="s">
        <v>28</v>
      </c>
      <c r="G360" s="403">
        <f>'MEMORIA DE CÁLCULO REFORMA'!J500</f>
        <v>778.62469999999996</v>
      </c>
      <c r="H360" s="403">
        <v>26.57</v>
      </c>
      <c r="I360" s="403">
        <f t="shared" ref="I360:I367" si="55">ROUND($H360*(1+$G$14),2)</f>
        <v>34.07</v>
      </c>
      <c r="J360" s="403">
        <f t="shared" ref="J360:J367" si="56">ROUND(G360*I360,2)</f>
        <v>26527.74</v>
      </c>
    </row>
    <row r="361" spans="2:10" s="401" customFormat="1" ht="25.5">
      <c r="B361" s="410" t="s">
        <v>1999</v>
      </c>
      <c r="C361" s="404" t="s">
        <v>1674</v>
      </c>
      <c r="D361" s="405" t="s">
        <v>1673</v>
      </c>
      <c r="E361" s="404" t="s">
        <v>27</v>
      </c>
      <c r="F361" s="404" t="s">
        <v>28</v>
      </c>
      <c r="G361" s="403">
        <f>'MEMORIA DE CÁLCULO REFORMA'!J503</f>
        <v>80.039999999999992</v>
      </c>
      <c r="H361" s="403">
        <v>42.01</v>
      </c>
      <c r="I361" s="403">
        <f t="shared" si="55"/>
        <v>53.87</v>
      </c>
      <c r="J361" s="403">
        <f t="shared" si="56"/>
        <v>4311.75</v>
      </c>
    </row>
    <row r="362" spans="2:10" s="401" customFormat="1" ht="25.5">
      <c r="B362" s="410" t="s">
        <v>2000</v>
      </c>
      <c r="C362" s="404" t="s">
        <v>122</v>
      </c>
      <c r="D362" s="405" t="s">
        <v>123</v>
      </c>
      <c r="E362" s="404" t="s">
        <v>27</v>
      </c>
      <c r="F362" s="404" t="s">
        <v>28</v>
      </c>
      <c r="G362" s="403">
        <f>'MEMORIA DE CÁLCULO REFORMA'!J507</f>
        <v>60.148299999999999</v>
      </c>
      <c r="H362" s="403">
        <v>26.74</v>
      </c>
      <c r="I362" s="403">
        <f t="shared" si="55"/>
        <v>34.29</v>
      </c>
      <c r="J362" s="403">
        <f t="shared" si="56"/>
        <v>2062.4899999999998</v>
      </c>
    </row>
    <row r="363" spans="2:10" s="401" customFormat="1" ht="25.5">
      <c r="B363" s="410" t="s">
        <v>2001</v>
      </c>
      <c r="C363" s="404" t="s">
        <v>125</v>
      </c>
      <c r="D363" s="410" t="s">
        <v>1670</v>
      </c>
      <c r="E363" s="404" t="s">
        <v>27</v>
      </c>
      <c r="F363" s="404" t="s">
        <v>28</v>
      </c>
      <c r="G363" s="403">
        <f>'MEMORIA DE CÁLCULO REFORMA'!J530</f>
        <v>718.47640000000001</v>
      </c>
      <c r="H363" s="403">
        <v>68.209999999999994</v>
      </c>
      <c r="I363" s="403">
        <f t="shared" si="55"/>
        <v>87.46</v>
      </c>
      <c r="J363" s="403">
        <f t="shared" si="56"/>
        <v>62837.95</v>
      </c>
    </row>
    <row r="364" spans="2:10" s="401" customFormat="1" ht="51">
      <c r="B364" s="410" t="s">
        <v>2002</v>
      </c>
      <c r="C364" s="404">
        <v>72190</v>
      </c>
      <c r="D364" s="410" t="s">
        <v>1089</v>
      </c>
      <c r="E364" s="404" t="s">
        <v>27</v>
      </c>
      <c r="F364" s="404" t="s">
        <v>97</v>
      </c>
      <c r="G364" s="403">
        <f>'MEMORIA DE CÁLCULO REFORMA'!J533</f>
        <v>649.91499999999996</v>
      </c>
      <c r="H364" s="403">
        <v>25.92</v>
      </c>
      <c r="I364" s="403">
        <f t="shared" si="55"/>
        <v>33.229999999999997</v>
      </c>
      <c r="J364" s="403">
        <f t="shared" si="56"/>
        <v>21596.68</v>
      </c>
    </row>
    <row r="365" spans="2:10" s="401" customFormat="1" ht="38.25">
      <c r="B365" s="410" t="s">
        <v>2003</v>
      </c>
      <c r="C365" s="404" t="s">
        <v>1667</v>
      </c>
      <c r="D365" s="405" t="s">
        <v>1666</v>
      </c>
      <c r="E365" s="404" t="s">
        <v>27</v>
      </c>
      <c r="F365" s="404" t="s">
        <v>97</v>
      </c>
      <c r="G365" s="403">
        <f>'MEMORIA DE CÁLCULO REFORMA'!J605</f>
        <v>114.34</v>
      </c>
      <c r="H365" s="403">
        <v>3.81</v>
      </c>
      <c r="I365" s="403">
        <f t="shared" si="55"/>
        <v>4.8899999999999997</v>
      </c>
      <c r="J365" s="403">
        <f t="shared" si="56"/>
        <v>559.12</v>
      </c>
    </row>
    <row r="366" spans="2:10" s="401" customFormat="1" ht="51">
      <c r="B366" s="410" t="s">
        <v>2004</v>
      </c>
      <c r="C366" s="404">
        <v>84161</v>
      </c>
      <c r="D366" s="410" t="s">
        <v>1092</v>
      </c>
      <c r="E366" s="409" t="s">
        <v>1060</v>
      </c>
      <c r="F366" s="404" t="s">
        <v>97</v>
      </c>
      <c r="G366" s="403">
        <f>'MEMORIA DE CÁLCULO REFORMA'!J628</f>
        <v>55.099999999999994</v>
      </c>
      <c r="H366" s="403">
        <v>39.369999999999997</v>
      </c>
      <c r="I366" s="403">
        <f t="shared" si="55"/>
        <v>50.48</v>
      </c>
      <c r="J366" s="403">
        <f t="shared" si="56"/>
        <v>2781.45</v>
      </c>
    </row>
    <row r="367" spans="2:10" s="401" customFormat="1" ht="25.5">
      <c r="B367" s="410" t="s">
        <v>2005</v>
      </c>
      <c r="C367" s="409" t="s">
        <v>1050</v>
      </c>
      <c r="D367" s="410" t="s">
        <v>1107</v>
      </c>
      <c r="E367" s="404" t="s">
        <v>27</v>
      </c>
      <c r="F367" s="404" t="s">
        <v>28</v>
      </c>
      <c r="G367" s="403">
        <f>'MEMORIA DE CÁLCULO REFORMA'!J636</f>
        <v>19.8</v>
      </c>
      <c r="H367" s="403">
        <f>'COMPOSICOES REFORMA'!G236</f>
        <v>147.97999999999999</v>
      </c>
      <c r="I367" s="403">
        <f t="shared" si="55"/>
        <v>189.74</v>
      </c>
      <c r="J367" s="403">
        <f t="shared" si="56"/>
        <v>3756.85</v>
      </c>
    </row>
    <row r="368" spans="2:10" s="401" customFormat="1">
      <c r="B368" s="547" t="s">
        <v>1701</v>
      </c>
      <c r="C368" s="592" t="s">
        <v>1663</v>
      </c>
      <c r="D368" s="593"/>
      <c r="E368" s="593"/>
      <c r="F368" s="593"/>
      <c r="G368" s="593"/>
      <c r="H368" s="593"/>
      <c r="I368" s="407"/>
      <c r="J368" s="406">
        <f>SUM(J369:J375)</f>
        <v>107999.47</v>
      </c>
    </row>
    <row r="369" spans="2:10" s="401" customFormat="1" ht="25.5">
      <c r="B369" s="410" t="s">
        <v>2006</v>
      </c>
      <c r="C369" s="404" t="s">
        <v>1662</v>
      </c>
      <c r="D369" s="405" t="s">
        <v>1661</v>
      </c>
      <c r="E369" s="404" t="s">
        <v>27</v>
      </c>
      <c r="F369" s="404" t="s">
        <v>28</v>
      </c>
      <c r="G369" s="403">
        <f>'MEMORIA DE CÁLCULO REFORMA'!J652</f>
        <v>2293.2248</v>
      </c>
      <c r="H369" s="403">
        <v>11.03</v>
      </c>
      <c r="I369" s="403">
        <f t="shared" ref="I369:I375" si="57">ROUND($H369*(1+$G$14),2)</f>
        <v>14.14</v>
      </c>
      <c r="J369" s="403">
        <f t="shared" ref="J369:J375" si="58">ROUND(G369*I369,2)</f>
        <v>32426.2</v>
      </c>
    </row>
    <row r="370" spans="2:10" s="401" customFormat="1" ht="25.5">
      <c r="B370" s="410" t="s">
        <v>2007</v>
      </c>
      <c r="C370" s="404" t="s">
        <v>1660</v>
      </c>
      <c r="D370" s="405" t="s">
        <v>1659</v>
      </c>
      <c r="E370" s="404" t="s">
        <v>27</v>
      </c>
      <c r="F370" s="404" t="s">
        <v>28</v>
      </c>
      <c r="G370" s="403">
        <f>'MEMORIA DE CÁLCULO REFORMA'!J741</f>
        <v>778.62469999999996</v>
      </c>
      <c r="H370" s="403">
        <v>19.53</v>
      </c>
      <c r="I370" s="403">
        <f t="shared" si="57"/>
        <v>25.04</v>
      </c>
      <c r="J370" s="403">
        <f t="shared" si="58"/>
        <v>19496.759999999998</v>
      </c>
    </row>
    <row r="371" spans="2:10" s="401" customFormat="1" ht="25.5">
      <c r="B371" s="410" t="s">
        <v>2008</v>
      </c>
      <c r="C371" s="404" t="s">
        <v>929</v>
      </c>
      <c r="D371" s="405" t="s">
        <v>930</v>
      </c>
      <c r="E371" s="404" t="s">
        <v>27</v>
      </c>
      <c r="F371" s="404" t="s">
        <v>28</v>
      </c>
      <c r="G371" s="403">
        <f>G369</f>
        <v>2293.2248</v>
      </c>
      <c r="H371" s="403">
        <v>2.2599999999999998</v>
      </c>
      <c r="I371" s="403">
        <f t="shared" si="57"/>
        <v>2.9</v>
      </c>
      <c r="J371" s="403">
        <f t="shared" si="58"/>
        <v>6650.35</v>
      </c>
    </row>
    <row r="372" spans="2:10" s="401" customFormat="1" ht="25.5">
      <c r="B372" s="410" t="s">
        <v>2009</v>
      </c>
      <c r="C372" s="404">
        <v>88482</v>
      </c>
      <c r="D372" s="405" t="s">
        <v>1658</v>
      </c>
      <c r="E372" s="404" t="s">
        <v>27</v>
      </c>
      <c r="F372" s="404" t="s">
        <v>28</v>
      </c>
      <c r="G372" s="403">
        <f>G370</f>
        <v>778.62469999999996</v>
      </c>
      <c r="H372" s="403">
        <v>2.87</v>
      </c>
      <c r="I372" s="403">
        <f t="shared" si="57"/>
        <v>3.68</v>
      </c>
      <c r="J372" s="403">
        <f t="shared" si="58"/>
        <v>2865.34</v>
      </c>
    </row>
    <row r="373" spans="2:10" s="401" customFormat="1" ht="25.5">
      <c r="B373" s="410" t="s">
        <v>2010</v>
      </c>
      <c r="C373" s="404" t="s">
        <v>932</v>
      </c>
      <c r="D373" s="405" t="s">
        <v>933</v>
      </c>
      <c r="E373" s="404" t="s">
        <v>27</v>
      </c>
      <c r="F373" s="404" t="s">
        <v>28</v>
      </c>
      <c r="G373" s="403">
        <f>G371</f>
        <v>2293.2248</v>
      </c>
      <c r="H373" s="403">
        <v>9.73</v>
      </c>
      <c r="I373" s="403">
        <f t="shared" si="57"/>
        <v>12.48</v>
      </c>
      <c r="J373" s="403">
        <f t="shared" si="58"/>
        <v>28619.45</v>
      </c>
    </row>
    <row r="374" spans="2:10" s="401" customFormat="1" ht="25.5">
      <c r="B374" s="410" t="s">
        <v>2011</v>
      </c>
      <c r="C374" s="404">
        <v>88488</v>
      </c>
      <c r="D374" s="405" t="s">
        <v>931</v>
      </c>
      <c r="E374" s="404" t="s">
        <v>27</v>
      </c>
      <c r="F374" s="404" t="s">
        <v>28</v>
      </c>
      <c r="G374" s="403">
        <f>G372</f>
        <v>778.62469999999996</v>
      </c>
      <c r="H374" s="403">
        <v>11.07</v>
      </c>
      <c r="I374" s="403">
        <f t="shared" si="57"/>
        <v>14.19</v>
      </c>
      <c r="J374" s="403">
        <f t="shared" si="58"/>
        <v>11048.68</v>
      </c>
    </row>
    <row r="375" spans="2:10" s="401" customFormat="1" ht="25.5">
      <c r="B375" s="410" t="s">
        <v>2012</v>
      </c>
      <c r="C375" s="404" t="s">
        <v>1657</v>
      </c>
      <c r="D375" s="405" t="s">
        <v>1656</v>
      </c>
      <c r="E375" s="404" t="s">
        <v>27</v>
      </c>
      <c r="F375" s="404" t="s">
        <v>28</v>
      </c>
      <c r="G375" s="403">
        <f>'MEMORIA DE CÁLCULO REFORMA'!J833</f>
        <v>261.97999999999996</v>
      </c>
      <c r="H375" s="403">
        <v>20.52</v>
      </c>
      <c r="I375" s="403">
        <f t="shared" si="57"/>
        <v>26.31</v>
      </c>
      <c r="J375" s="403">
        <f t="shared" si="58"/>
        <v>6892.69</v>
      </c>
    </row>
    <row r="376" spans="2:10" s="401" customFormat="1" ht="12.75" customHeight="1">
      <c r="B376" s="547" t="s">
        <v>1894</v>
      </c>
      <c r="C376" s="592" t="s">
        <v>1655</v>
      </c>
      <c r="D376" s="593"/>
      <c r="E376" s="593"/>
      <c r="F376" s="593"/>
      <c r="G376" s="593"/>
      <c r="H376" s="593"/>
      <c r="I376" s="407"/>
      <c r="J376" s="406">
        <f>J377+J406</f>
        <v>3392.2900000000009</v>
      </c>
    </row>
    <row r="377" spans="2:10" s="401" customFormat="1" ht="12.75" customHeight="1">
      <c r="B377" s="412" t="s">
        <v>2013</v>
      </c>
      <c r="C377" s="595" t="s">
        <v>1654</v>
      </c>
      <c r="D377" s="596"/>
      <c r="E377" s="596"/>
      <c r="F377" s="596"/>
      <c r="G377" s="596"/>
      <c r="H377" s="596"/>
      <c r="I377" s="415"/>
      <c r="J377" s="411">
        <f>SUM(J378:J405)</f>
        <v>2617.8200000000011</v>
      </c>
    </row>
    <row r="378" spans="2:10" s="401" customFormat="1">
      <c r="B378" s="410" t="s">
        <v>2014</v>
      </c>
      <c r="C378" s="404" t="s">
        <v>143</v>
      </c>
      <c r="D378" s="405" t="s">
        <v>144</v>
      </c>
      <c r="E378" s="404" t="s">
        <v>27</v>
      </c>
      <c r="F378" s="404" t="s">
        <v>97</v>
      </c>
      <c r="G378" s="403">
        <v>72</v>
      </c>
      <c r="H378" s="403">
        <v>3.85</v>
      </c>
      <c r="I378" s="403">
        <f t="shared" ref="I378:I405" si="59">ROUND($H378*(1+$G$14),2)</f>
        <v>4.9400000000000004</v>
      </c>
      <c r="J378" s="403">
        <f t="shared" ref="J378:J405" si="60">ROUND(G378*I378,2)</f>
        <v>355.68</v>
      </c>
    </row>
    <row r="379" spans="2:10" s="401" customFormat="1">
      <c r="B379" s="410" t="s">
        <v>2015</v>
      </c>
      <c r="C379" s="404" t="s">
        <v>146</v>
      </c>
      <c r="D379" s="405" t="s">
        <v>147</v>
      </c>
      <c r="E379" s="404" t="s">
        <v>27</v>
      </c>
      <c r="F379" s="404" t="s">
        <v>97</v>
      </c>
      <c r="G379" s="403">
        <v>27</v>
      </c>
      <c r="H379" s="403">
        <v>7.8</v>
      </c>
      <c r="I379" s="403">
        <f t="shared" si="59"/>
        <v>10</v>
      </c>
      <c r="J379" s="403">
        <f t="shared" si="60"/>
        <v>270</v>
      </c>
    </row>
    <row r="380" spans="2:10" s="401" customFormat="1" ht="25.5">
      <c r="B380" s="410" t="s">
        <v>2016</v>
      </c>
      <c r="C380" s="404" t="s">
        <v>149</v>
      </c>
      <c r="D380" s="405" t="s">
        <v>150</v>
      </c>
      <c r="E380" s="404" t="s">
        <v>27</v>
      </c>
      <c r="F380" s="404" t="s">
        <v>97</v>
      </c>
      <c r="G380" s="403">
        <v>4</v>
      </c>
      <c r="H380" s="403">
        <v>11.22</v>
      </c>
      <c r="I380" s="403">
        <f t="shared" si="59"/>
        <v>14.39</v>
      </c>
      <c r="J380" s="403">
        <f t="shared" si="60"/>
        <v>57.56</v>
      </c>
    </row>
    <row r="381" spans="2:10" s="401" customFormat="1">
      <c r="B381" s="410" t="s">
        <v>2017</v>
      </c>
      <c r="C381" s="404" t="s">
        <v>152</v>
      </c>
      <c r="D381" s="405" t="s">
        <v>153</v>
      </c>
      <c r="E381" s="404" t="s">
        <v>27</v>
      </c>
      <c r="F381" s="404" t="s">
        <v>97</v>
      </c>
      <c r="G381" s="403">
        <v>11</v>
      </c>
      <c r="H381" s="403">
        <v>13.89</v>
      </c>
      <c r="I381" s="403">
        <f t="shared" si="59"/>
        <v>17.809999999999999</v>
      </c>
      <c r="J381" s="403">
        <f t="shared" si="60"/>
        <v>195.91</v>
      </c>
    </row>
    <row r="382" spans="2:10" s="401" customFormat="1">
      <c r="B382" s="410" t="s">
        <v>2018</v>
      </c>
      <c r="C382" s="404" t="s">
        <v>155</v>
      </c>
      <c r="D382" s="405" t="s">
        <v>156</v>
      </c>
      <c r="E382" s="404" t="s">
        <v>27</v>
      </c>
      <c r="F382" s="404" t="s">
        <v>97</v>
      </c>
      <c r="G382" s="403">
        <v>4</v>
      </c>
      <c r="H382" s="403">
        <v>21.29</v>
      </c>
      <c r="I382" s="403">
        <f t="shared" si="59"/>
        <v>27.3</v>
      </c>
      <c r="J382" s="403">
        <f t="shared" si="60"/>
        <v>109.2</v>
      </c>
    </row>
    <row r="383" spans="2:10" s="401" customFormat="1">
      <c r="B383" s="410" t="s">
        <v>2019</v>
      </c>
      <c r="C383" s="404" t="s">
        <v>1653</v>
      </c>
      <c r="D383" s="405" t="s">
        <v>1652</v>
      </c>
      <c r="E383" s="404" t="s">
        <v>27</v>
      </c>
      <c r="F383" s="404" t="s">
        <v>33</v>
      </c>
      <c r="G383" s="403">
        <v>24</v>
      </c>
      <c r="H383" s="403">
        <v>13.41</v>
      </c>
      <c r="I383" s="403">
        <f t="shared" si="59"/>
        <v>17.190000000000001</v>
      </c>
      <c r="J383" s="403">
        <f t="shared" si="60"/>
        <v>412.56</v>
      </c>
    </row>
    <row r="384" spans="2:10" s="401" customFormat="1">
      <c r="B384" s="410" t="s">
        <v>2020</v>
      </c>
      <c r="C384" s="404" t="s">
        <v>1651</v>
      </c>
      <c r="D384" s="405" t="s">
        <v>1650</v>
      </c>
      <c r="E384" s="404" t="s">
        <v>27</v>
      </c>
      <c r="F384" s="404" t="s">
        <v>33</v>
      </c>
      <c r="G384" s="403">
        <v>9</v>
      </c>
      <c r="H384" s="403">
        <v>19.21</v>
      </c>
      <c r="I384" s="403">
        <f t="shared" si="59"/>
        <v>24.63</v>
      </c>
      <c r="J384" s="403">
        <f t="shared" si="60"/>
        <v>221.67</v>
      </c>
    </row>
    <row r="385" spans="2:10" s="401" customFormat="1">
      <c r="B385" s="410" t="s">
        <v>2021</v>
      </c>
      <c r="C385" s="404" t="s">
        <v>1645</v>
      </c>
      <c r="D385" s="405" t="s">
        <v>1644</v>
      </c>
      <c r="E385" s="404" t="s">
        <v>27</v>
      </c>
      <c r="F385" s="404" t="s">
        <v>33</v>
      </c>
      <c r="G385" s="403">
        <v>2</v>
      </c>
      <c r="H385" s="403">
        <v>11.09</v>
      </c>
      <c r="I385" s="403">
        <f t="shared" si="59"/>
        <v>14.22</v>
      </c>
      <c r="J385" s="403">
        <f t="shared" si="60"/>
        <v>28.44</v>
      </c>
    </row>
    <row r="386" spans="2:10" s="401" customFormat="1">
      <c r="B386" s="410" t="s">
        <v>2022</v>
      </c>
      <c r="C386" s="404" t="s">
        <v>1649</v>
      </c>
      <c r="D386" s="405" t="s">
        <v>1648</v>
      </c>
      <c r="E386" s="404" t="s">
        <v>27</v>
      </c>
      <c r="F386" s="404" t="s">
        <v>33</v>
      </c>
      <c r="G386" s="403">
        <v>5</v>
      </c>
      <c r="H386" s="403">
        <v>25.76</v>
      </c>
      <c r="I386" s="403">
        <f t="shared" si="59"/>
        <v>33.03</v>
      </c>
      <c r="J386" s="403">
        <f t="shared" si="60"/>
        <v>165.15</v>
      </c>
    </row>
    <row r="387" spans="2:10" s="401" customFormat="1">
      <c r="B387" s="410" t="s">
        <v>2023</v>
      </c>
      <c r="C387" s="404" t="s">
        <v>1647</v>
      </c>
      <c r="D387" s="405" t="s">
        <v>1646</v>
      </c>
      <c r="E387" s="404" t="s">
        <v>27</v>
      </c>
      <c r="F387" s="404" t="s">
        <v>33</v>
      </c>
      <c r="G387" s="403">
        <v>2</v>
      </c>
      <c r="H387" s="403">
        <v>33.99</v>
      </c>
      <c r="I387" s="403">
        <f t="shared" si="59"/>
        <v>43.58</v>
      </c>
      <c r="J387" s="403">
        <f t="shared" si="60"/>
        <v>87.16</v>
      </c>
    </row>
    <row r="388" spans="2:10" s="401" customFormat="1" ht="38.25">
      <c r="B388" s="410" t="s">
        <v>2024</v>
      </c>
      <c r="C388" s="404" t="s">
        <v>159</v>
      </c>
      <c r="D388" s="405" t="s">
        <v>160</v>
      </c>
      <c r="E388" s="404" t="s">
        <v>27</v>
      </c>
      <c r="F388" s="404" t="s">
        <v>33</v>
      </c>
      <c r="G388" s="403">
        <v>7</v>
      </c>
      <c r="H388" s="403">
        <v>8</v>
      </c>
      <c r="I388" s="403">
        <f t="shared" si="59"/>
        <v>10.26</v>
      </c>
      <c r="J388" s="403">
        <f t="shared" si="60"/>
        <v>71.819999999999993</v>
      </c>
    </row>
    <row r="389" spans="2:10" s="401" customFormat="1" ht="38.25">
      <c r="B389" s="410" t="s">
        <v>2025</v>
      </c>
      <c r="C389" s="404" t="s">
        <v>162</v>
      </c>
      <c r="D389" s="405" t="s">
        <v>163</v>
      </c>
      <c r="E389" s="404" t="s">
        <v>27</v>
      </c>
      <c r="F389" s="404" t="s">
        <v>33</v>
      </c>
      <c r="G389" s="403">
        <v>4</v>
      </c>
      <c r="H389" s="403">
        <v>8.06</v>
      </c>
      <c r="I389" s="403">
        <f t="shared" si="59"/>
        <v>10.33</v>
      </c>
      <c r="J389" s="403">
        <f t="shared" si="60"/>
        <v>41.32</v>
      </c>
    </row>
    <row r="390" spans="2:10" s="401" customFormat="1" ht="38.25">
      <c r="B390" s="410" t="s">
        <v>2026</v>
      </c>
      <c r="C390" s="404" t="s">
        <v>165</v>
      </c>
      <c r="D390" s="405" t="s">
        <v>166</v>
      </c>
      <c r="E390" s="404" t="s">
        <v>27</v>
      </c>
      <c r="F390" s="404" t="s">
        <v>33</v>
      </c>
      <c r="G390" s="403">
        <v>2</v>
      </c>
      <c r="H390" s="403">
        <v>14.91</v>
      </c>
      <c r="I390" s="403">
        <f t="shared" si="59"/>
        <v>19.12</v>
      </c>
      <c r="J390" s="403">
        <f t="shared" si="60"/>
        <v>38.24</v>
      </c>
    </row>
    <row r="391" spans="2:10" s="401" customFormat="1" ht="38.25">
      <c r="B391" s="410" t="s">
        <v>2027</v>
      </c>
      <c r="C391" s="404" t="s">
        <v>168</v>
      </c>
      <c r="D391" s="405" t="s">
        <v>169</v>
      </c>
      <c r="E391" s="404" t="s">
        <v>27</v>
      </c>
      <c r="F391" s="404" t="s">
        <v>33</v>
      </c>
      <c r="G391" s="403">
        <v>1</v>
      </c>
      <c r="H391" s="403">
        <v>28.36</v>
      </c>
      <c r="I391" s="403">
        <f t="shared" si="59"/>
        <v>36.36</v>
      </c>
      <c r="J391" s="403">
        <f t="shared" si="60"/>
        <v>36.36</v>
      </c>
    </row>
    <row r="392" spans="2:10" s="401" customFormat="1">
      <c r="B392" s="410" t="s">
        <v>2028</v>
      </c>
      <c r="C392" s="404" t="s">
        <v>171</v>
      </c>
      <c r="D392" s="405" t="s">
        <v>172</v>
      </c>
      <c r="E392" s="404" t="s">
        <v>27</v>
      </c>
      <c r="F392" s="404" t="s">
        <v>33</v>
      </c>
      <c r="G392" s="403">
        <v>10</v>
      </c>
      <c r="H392" s="403">
        <v>6.28</v>
      </c>
      <c r="I392" s="403">
        <f t="shared" si="59"/>
        <v>8.0500000000000007</v>
      </c>
      <c r="J392" s="403">
        <f t="shared" si="60"/>
        <v>80.5</v>
      </c>
    </row>
    <row r="393" spans="2:10" s="401" customFormat="1">
      <c r="B393" s="410" t="s">
        <v>2029</v>
      </c>
      <c r="C393" s="404" t="s">
        <v>174</v>
      </c>
      <c r="D393" s="405" t="s">
        <v>175</v>
      </c>
      <c r="E393" s="404" t="s">
        <v>27</v>
      </c>
      <c r="F393" s="404" t="s">
        <v>33</v>
      </c>
      <c r="G393" s="403">
        <v>3</v>
      </c>
      <c r="H393" s="403">
        <v>8.3699999999999992</v>
      </c>
      <c r="I393" s="403">
        <f t="shared" si="59"/>
        <v>10.73</v>
      </c>
      <c r="J393" s="403">
        <f t="shared" si="60"/>
        <v>32.19</v>
      </c>
    </row>
    <row r="394" spans="2:10" s="401" customFormat="1" ht="25.5">
      <c r="B394" s="410" t="s">
        <v>2030</v>
      </c>
      <c r="C394" s="404" t="s">
        <v>177</v>
      </c>
      <c r="D394" s="405" t="s">
        <v>178</v>
      </c>
      <c r="E394" s="404" t="s">
        <v>27</v>
      </c>
      <c r="F394" s="404" t="s">
        <v>33</v>
      </c>
      <c r="G394" s="403">
        <v>12</v>
      </c>
      <c r="H394" s="403">
        <v>9.93</v>
      </c>
      <c r="I394" s="403">
        <f t="shared" si="59"/>
        <v>12.73</v>
      </c>
      <c r="J394" s="403">
        <f t="shared" si="60"/>
        <v>152.76</v>
      </c>
    </row>
    <row r="395" spans="2:10" s="401" customFormat="1" ht="38.25">
      <c r="B395" s="410" t="s">
        <v>2031</v>
      </c>
      <c r="C395" s="404" t="s">
        <v>181</v>
      </c>
      <c r="D395" s="405" t="s">
        <v>182</v>
      </c>
      <c r="E395" s="404" t="s">
        <v>27</v>
      </c>
      <c r="F395" s="404" t="s">
        <v>33</v>
      </c>
      <c r="G395" s="403">
        <v>1</v>
      </c>
      <c r="H395" s="403">
        <v>3.4</v>
      </c>
      <c r="I395" s="403">
        <f t="shared" si="59"/>
        <v>4.3600000000000003</v>
      </c>
      <c r="J395" s="403">
        <f t="shared" si="60"/>
        <v>4.3600000000000003</v>
      </c>
    </row>
    <row r="396" spans="2:10" s="401" customFormat="1" ht="38.25">
      <c r="B396" s="410" t="s">
        <v>2032</v>
      </c>
      <c r="C396" s="404" t="s">
        <v>184</v>
      </c>
      <c r="D396" s="405" t="s">
        <v>185</v>
      </c>
      <c r="E396" s="404" t="s">
        <v>27</v>
      </c>
      <c r="F396" s="404" t="s">
        <v>33</v>
      </c>
      <c r="G396" s="403">
        <v>4</v>
      </c>
      <c r="H396" s="403">
        <v>4.7300000000000004</v>
      </c>
      <c r="I396" s="403">
        <f t="shared" si="59"/>
        <v>6.06</v>
      </c>
      <c r="J396" s="403">
        <f t="shared" si="60"/>
        <v>24.24</v>
      </c>
    </row>
    <row r="397" spans="2:10" s="401" customFormat="1">
      <c r="B397" s="410" t="s">
        <v>2033</v>
      </c>
      <c r="C397" s="404" t="s">
        <v>1645</v>
      </c>
      <c r="D397" s="405" t="s">
        <v>1644</v>
      </c>
      <c r="E397" s="404" t="s">
        <v>27</v>
      </c>
      <c r="F397" s="404" t="s">
        <v>33</v>
      </c>
      <c r="G397" s="403">
        <v>1</v>
      </c>
      <c r="H397" s="403">
        <v>11.09</v>
      </c>
      <c r="I397" s="403">
        <f t="shared" si="59"/>
        <v>14.22</v>
      </c>
      <c r="J397" s="403">
        <f t="shared" si="60"/>
        <v>14.22</v>
      </c>
    </row>
    <row r="398" spans="2:10" s="401" customFormat="1" ht="38.25">
      <c r="B398" s="410" t="s">
        <v>2034</v>
      </c>
      <c r="C398" s="404" t="s">
        <v>187</v>
      </c>
      <c r="D398" s="405" t="s">
        <v>188</v>
      </c>
      <c r="E398" s="404" t="s">
        <v>27</v>
      </c>
      <c r="F398" s="404" t="s">
        <v>33</v>
      </c>
      <c r="G398" s="403">
        <v>1</v>
      </c>
      <c r="H398" s="403">
        <v>6.32</v>
      </c>
      <c r="I398" s="403">
        <f t="shared" si="59"/>
        <v>8.1</v>
      </c>
      <c r="J398" s="403">
        <f t="shared" si="60"/>
        <v>8.1</v>
      </c>
    </row>
    <row r="399" spans="2:10" s="401" customFormat="1" ht="38.25">
      <c r="B399" s="410" t="s">
        <v>2035</v>
      </c>
      <c r="C399" s="404" t="s">
        <v>190</v>
      </c>
      <c r="D399" s="405" t="s">
        <v>191</v>
      </c>
      <c r="E399" s="404" t="s">
        <v>27</v>
      </c>
      <c r="F399" s="404" t="s">
        <v>33</v>
      </c>
      <c r="G399" s="403">
        <v>1</v>
      </c>
      <c r="H399" s="403">
        <v>7.85</v>
      </c>
      <c r="I399" s="403">
        <f t="shared" si="59"/>
        <v>10.07</v>
      </c>
      <c r="J399" s="403">
        <f t="shared" si="60"/>
        <v>10.07</v>
      </c>
    </row>
    <row r="400" spans="2:10" s="401" customFormat="1" ht="38.25">
      <c r="B400" s="410" t="s">
        <v>2036</v>
      </c>
      <c r="C400" s="404" t="s">
        <v>190</v>
      </c>
      <c r="D400" s="405" t="s">
        <v>193</v>
      </c>
      <c r="E400" s="404" t="s">
        <v>27</v>
      </c>
      <c r="F400" s="404" t="s">
        <v>33</v>
      </c>
      <c r="G400" s="403">
        <v>1</v>
      </c>
      <c r="H400" s="403">
        <v>7.85</v>
      </c>
      <c r="I400" s="403">
        <f t="shared" si="59"/>
        <v>10.07</v>
      </c>
      <c r="J400" s="403">
        <f t="shared" si="60"/>
        <v>10.07</v>
      </c>
    </row>
    <row r="401" spans="2:10" s="401" customFormat="1">
      <c r="B401" s="410" t="s">
        <v>2037</v>
      </c>
      <c r="C401" s="404" t="s">
        <v>198</v>
      </c>
      <c r="D401" s="405" t="s">
        <v>199</v>
      </c>
      <c r="E401" s="404" t="s">
        <v>27</v>
      </c>
      <c r="F401" s="404" t="s">
        <v>33</v>
      </c>
      <c r="G401" s="403">
        <v>5</v>
      </c>
      <c r="H401" s="403">
        <v>8.74</v>
      </c>
      <c r="I401" s="403">
        <f t="shared" si="59"/>
        <v>11.21</v>
      </c>
      <c r="J401" s="403">
        <f t="shared" si="60"/>
        <v>56.05</v>
      </c>
    </row>
    <row r="402" spans="2:10" s="401" customFormat="1">
      <c r="B402" s="410" t="s">
        <v>2038</v>
      </c>
      <c r="C402" s="404" t="s">
        <v>201</v>
      </c>
      <c r="D402" s="405" t="s">
        <v>202</v>
      </c>
      <c r="E402" s="404" t="s">
        <v>27</v>
      </c>
      <c r="F402" s="404" t="s">
        <v>33</v>
      </c>
      <c r="G402" s="403">
        <v>4</v>
      </c>
      <c r="H402" s="403">
        <v>8.65</v>
      </c>
      <c r="I402" s="403">
        <f t="shared" si="59"/>
        <v>11.09</v>
      </c>
      <c r="J402" s="403">
        <f t="shared" si="60"/>
        <v>44.36</v>
      </c>
    </row>
    <row r="403" spans="2:10" s="401" customFormat="1" ht="25.5">
      <c r="B403" s="410" t="s">
        <v>2039</v>
      </c>
      <c r="C403" s="404" t="s">
        <v>204</v>
      </c>
      <c r="D403" s="405" t="s">
        <v>205</v>
      </c>
      <c r="E403" s="404" t="s">
        <v>27</v>
      </c>
      <c r="F403" s="404" t="s">
        <v>33</v>
      </c>
      <c r="G403" s="403">
        <v>1</v>
      </c>
      <c r="H403" s="403">
        <v>11.9</v>
      </c>
      <c r="I403" s="403">
        <f t="shared" si="59"/>
        <v>15.26</v>
      </c>
      <c r="J403" s="403">
        <f t="shared" si="60"/>
        <v>15.26</v>
      </c>
    </row>
    <row r="404" spans="2:10" s="401" customFormat="1">
      <c r="B404" s="410" t="s">
        <v>2040</v>
      </c>
      <c r="C404" s="404" t="s">
        <v>207</v>
      </c>
      <c r="D404" s="405" t="s">
        <v>208</v>
      </c>
      <c r="E404" s="404" t="s">
        <v>27</v>
      </c>
      <c r="F404" s="404" t="s">
        <v>33</v>
      </c>
      <c r="G404" s="403">
        <v>2</v>
      </c>
      <c r="H404" s="403">
        <v>14.57</v>
      </c>
      <c r="I404" s="403">
        <f t="shared" si="59"/>
        <v>18.68</v>
      </c>
      <c r="J404" s="403">
        <f t="shared" si="60"/>
        <v>37.36</v>
      </c>
    </row>
    <row r="405" spans="2:10" s="401" customFormat="1">
      <c r="B405" s="410" t="s">
        <v>2041</v>
      </c>
      <c r="C405" s="404" t="s">
        <v>210</v>
      </c>
      <c r="D405" s="405" t="s">
        <v>211</v>
      </c>
      <c r="E405" s="404" t="s">
        <v>27</v>
      </c>
      <c r="F405" s="404" t="s">
        <v>33</v>
      </c>
      <c r="G405" s="403">
        <v>1</v>
      </c>
      <c r="H405" s="403">
        <v>29.02</v>
      </c>
      <c r="I405" s="403">
        <f t="shared" si="59"/>
        <v>37.21</v>
      </c>
      <c r="J405" s="403">
        <f t="shared" si="60"/>
        <v>37.21</v>
      </c>
    </row>
    <row r="406" spans="2:10" s="401" customFormat="1" ht="12.75" customHeight="1">
      <c r="B406" s="412" t="s">
        <v>2042</v>
      </c>
      <c r="C406" s="595" t="s">
        <v>1643</v>
      </c>
      <c r="D406" s="596"/>
      <c r="E406" s="596"/>
      <c r="F406" s="596"/>
      <c r="G406" s="596"/>
      <c r="H406" s="596"/>
      <c r="I406" s="411"/>
      <c r="J406" s="411">
        <f>SUM(J407:J412)</f>
        <v>774.46999999999991</v>
      </c>
    </row>
    <row r="407" spans="2:10" s="401" customFormat="1">
      <c r="B407" s="410" t="s">
        <v>2043</v>
      </c>
      <c r="C407" s="404" t="s">
        <v>216</v>
      </c>
      <c r="D407" s="405" t="s">
        <v>217</v>
      </c>
      <c r="E407" s="404" t="s">
        <v>27</v>
      </c>
      <c r="F407" s="404" t="s">
        <v>33</v>
      </c>
      <c r="G407" s="403">
        <v>1</v>
      </c>
      <c r="H407" s="403">
        <v>48.19</v>
      </c>
      <c r="I407" s="403">
        <f t="shared" ref="I407:I412" si="61">ROUND($H407*(1+$G$14),2)</f>
        <v>61.79</v>
      </c>
      <c r="J407" s="403">
        <f t="shared" ref="J407:J412" si="62">ROUND(G407*I407,2)</f>
        <v>61.79</v>
      </c>
    </row>
    <row r="408" spans="2:10" s="401" customFormat="1" ht="12.75" customHeight="1">
      <c r="B408" s="410" t="s">
        <v>2044</v>
      </c>
      <c r="C408" s="404" t="s">
        <v>216</v>
      </c>
      <c r="D408" s="405" t="s">
        <v>1642</v>
      </c>
      <c r="E408" s="404" t="s">
        <v>27</v>
      </c>
      <c r="F408" s="404" t="s">
        <v>33</v>
      </c>
      <c r="G408" s="403">
        <v>3</v>
      </c>
      <c r="H408" s="403">
        <v>48.19</v>
      </c>
      <c r="I408" s="403">
        <f t="shared" si="61"/>
        <v>61.79</v>
      </c>
      <c r="J408" s="403">
        <f t="shared" si="62"/>
        <v>185.37</v>
      </c>
    </row>
    <row r="409" spans="2:10" s="401" customFormat="1" ht="12.75" customHeight="1">
      <c r="B409" s="410" t="s">
        <v>2045</v>
      </c>
      <c r="C409" s="404" t="s">
        <v>222</v>
      </c>
      <c r="D409" s="405" t="s">
        <v>1641</v>
      </c>
      <c r="E409" s="404" t="s">
        <v>27</v>
      </c>
      <c r="F409" s="404" t="s">
        <v>33</v>
      </c>
      <c r="G409" s="403">
        <v>3</v>
      </c>
      <c r="H409" s="403">
        <v>61.48</v>
      </c>
      <c r="I409" s="403">
        <f t="shared" si="61"/>
        <v>78.83</v>
      </c>
      <c r="J409" s="403">
        <f t="shared" si="62"/>
        <v>236.49</v>
      </c>
    </row>
    <row r="410" spans="2:10" s="401" customFormat="1" ht="12.75" customHeight="1">
      <c r="B410" s="410" t="s">
        <v>2046</v>
      </c>
      <c r="C410" s="404" t="s">
        <v>1640</v>
      </c>
      <c r="D410" s="405" t="s">
        <v>1639</v>
      </c>
      <c r="E410" s="404" t="s">
        <v>27</v>
      </c>
      <c r="F410" s="404" t="s">
        <v>33</v>
      </c>
      <c r="G410" s="403">
        <v>1</v>
      </c>
      <c r="H410" s="403">
        <v>88.17</v>
      </c>
      <c r="I410" s="403">
        <f t="shared" si="61"/>
        <v>113.05</v>
      </c>
      <c r="J410" s="403">
        <f t="shared" si="62"/>
        <v>113.05</v>
      </c>
    </row>
    <row r="411" spans="2:10" s="401" customFormat="1">
      <c r="B411" s="410" t="s">
        <v>2047</v>
      </c>
      <c r="C411" s="404" t="s">
        <v>228</v>
      </c>
      <c r="D411" s="405" t="s">
        <v>229</v>
      </c>
      <c r="E411" s="404" t="s">
        <v>27</v>
      </c>
      <c r="F411" s="404" t="s">
        <v>33</v>
      </c>
      <c r="G411" s="403">
        <v>1</v>
      </c>
      <c r="H411" s="403">
        <v>113.84</v>
      </c>
      <c r="I411" s="403">
        <f t="shared" si="61"/>
        <v>145.97</v>
      </c>
      <c r="J411" s="403">
        <f t="shared" si="62"/>
        <v>145.97</v>
      </c>
    </row>
    <row r="412" spans="2:10" s="401" customFormat="1" ht="25.5" customHeight="1">
      <c r="B412" s="410" t="s">
        <v>2048</v>
      </c>
      <c r="C412" s="404">
        <v>90371</v>
      </c>
      <c r="D412" s="410" t="s">
        <v>1638</v>
      </c>
      <c r="E412" s="404" t="s">
        <v>27</v>
      </c>
      <c r="F412" s="404" t="s">
        <v>33</v>
      </c>
      <c r="G412" s="403">
        <v>1</v>
      </c>
      <c r="H412" s="403">
        <v>24.8</v>
      </c>
      <c r="I412" s="403">
        <f t="shared" si="61"/>
        <v>31.8</v>
      </c>
      <c r="J412" s="403">
        <f t="shared" si="62"/>
        <v>31.8</v>
      </c>
    </row>
    <row r="413" spans="2:10" s="401" customFormat="1" ht="12.75" customHeight="1">
      <c r="B413" s="547" t="s">
        <v>1698</v>
      </c>
      <c r="C413" s="597" t="s">
        <v>1637</v>
      </c>
      <c r="D413" s="598"/>
      <c r="E413" s="598"/>
      <c r="F413" s="598"/>
      <c r="G413" s="598"/>
      <c r="H413" s="599"/>
      <c r="I413" s="407"/>
      <c r="J413" s="406">
        <f>SUM(J414:J418)</f>
        <v>2601.1800000000003</v>
      </c>
    </row>
    <row r="414" spans="2:10" s="401" customFormat="1" ht="12.75" customHeight="1">
      <c r="B414" s="410" t="s">
        <v>2049</v>
      </c>
      <c r="C414" s="404" t="s">
        <v>245</v>
      </c>
      <c r="D414" s="405" t="s">
        <v>246</v>
      </c>
      <c r="E414" s="404" t="s">
        <v>27</v>
      </c>
      <c r="F414" s="404" t="s">
        <v>97</v>
      </c>
      <c r="G414" s="403">
        <v>31.4</v>
      </c>
      <c r="H414" s="414">
        <v>13.94</v>
      </c>
      <c r="I414" s="403">
        <f>ROUND($H414*(1+$G$14),2)</f>
        <v>17.87</v>
      </c>
      <c r="J414" s="403">
        <f>ROUND(G414*I414,2)</f>
        <v>561.12</v>
      </c>
    </row>
    <row r="415" spans="2:10" s="401" customFormat="1" ht="12.75" customHeight="1">
      <c r="B415" s="410" t="s">
        <v>2050</v>
      </c>
      <c r="C415" s="404" t="s">
        <v>248</v>
      </c>
      <c r="D415" s="405" t="s">
        <v>249</v>
      </c>
      <c r="E415" s="404" t="s">
        <v>27</v>
      </c>
      <c r="F415" s="404" t="s">
        <v>97</v>
      </c>
      <c r="G415" s="403">
        <v>6.1</v>
      </c>
      <c r="H415" s="403">
        <v>20.97</v>
      </c>
      <c r="I415" s="403">
        <f>ROUND($H415*(1+$G$14),2)</f>
        <v>26.89</v>
      </c>
      <c r="J415" s="403">
        <f>ROUND(G415*I415,2)</f>
        <v>164.03</v>
      </c>
    </row>
    <row r="416" spans="2:10" s="401" customFormat="1" ht="12.75" customHeight="1">
      <c r="B416" s="410" t="s">
        <v>2051</v>
      </c>
      <c r="C416" s="404" t="s">
        <v>251</v>
      </c>
      <c r="D416" s="405" t="s">
        <v>252</v>
      </c>
      <c r="E416" s="404" t="s">
        <v>27</v>
      </c>
      <c r="F416" s="404" t="s">
        <v>97</v>
      </c>
      <c r="G416" s="403">
        <v>11.7</v>
      </c>
      <c r="H416" s="403">
        <v>27.17</v>
      </c>
      <c r="I416" s="403">
        <f>ROUND($H416*(1+$G$14),2)</f>
        <v>34.840000000000003</v>
      </c>
      <c r="J416" s="403">
        <f>ROUND(G416*I416,2)</f>
        <v>407.63</v>
      </c>
    </row>
    <row r="417" spans="2:10" s="401" customFormat="1" ht="12.75" customHeight="1">
      <c r="B417" s="410" t="s">
        <v>2052</v>
      </c>
      <c r="C417" s="404" t="s">
        <v>254</v>
      </c>
      <c r="D417" s="405" t="s">
        <v>255</v>
      </c>
      <c r="E417" s="404" t="s">
        <v>27</v>
      </c>
      <c r="F417" s="404" t="s">
        <v>97</v>
      </c>
      <c r="G417" s="403">
        <v>12.7</v>
      </c>
      <c r="H417" s="403">
        <v>40.270000000000003</v>
      </c>
      <c r="I417" s="403">
        <f>ROUND($H417*(1+$G$14),2)</f>
        <v>51.63</v>
      </c>
      <c r="J417" s="403">
        <f>ROUND(G417*I417,2)</f>
        <v>655.7</v>
      </c>
    </row>
    <row r="418" spans="2:10" s="401" customFormat="1" ht="51" customHeight="1">
      <c r="B418" s="410" t="s">
        <v>2053</v>
      </c>
      <c r="C418" s="404" t="s">
        <v>1636</v>
      </c>
      <c r="D418" s="410" t="s">
        <v>1635</v>
      </c>
      <c r="E418" s="404" t="s">
        <v>27</v>
      </c>
      <c r="F418" s="404" t="s">
        <v>33</v>
      </c>
      <c r="G418" s="403">
        <v>3</v>
      </c>
      <c r="H418" s="403">
        <v>211.28</v>
      </c>
      <c r="I418" s="403">
        <f>ROUND($H418*(1+$G$14),2)</f>
        <v>270.89999999999998</v>
      </c>
      <c r="J418" s="403">
        <f>ROUND(G418*I418,2)</f>
        <v>812.7</v>
      </c>
    </row>
    <row r="419" spans="2:10" s="401" customFormat="1" ht="12.75" customHeight="1">
      <c r="B419" s="547" t="s">
        <v>2054</v>
      </c>
      <c r="C419" s="597" t="s">
        <v>1634</v>
      </c>
      <c r="D419" s="598"/>
      <c r="E419" s="598"/>
      <c r="F419" s="598"/>
      <c r="G419" s="598"/>
      <c r="H419" s="599"/>
      <c r="I419" s="407"/>
      <c r="J419" s="406">
        <f>J420+J422+J430+J436</f>
        <v>34798.26</v>
      </c>
    </row>
    <row r="420" spans="2:10" s="401" customFormat="1" ht="12.75" customHeight="1">
      <c r="B420" s="412" t="s">
        <v>2055</v>
      </c>
      <c r="C420" s="600" t="s">
        <v>1633</v>
      </c>
      <c r="D420" s="601"/>
      <c r="E420" s="601"/>
      <c r="F420" s="601"/>
      <c r="G420" s="601"/>
      <c r="H420" s="602"/>
      <c r="I420" s="403"/>
      <c r="J420" s="411">
        <f>J421</f>
        <v>12888.14</v>
      </c>
    </row>
    <row r="421" spans="2:10" s="401" customFormat="1" ht="12.75" customHeight="1">
      <c r="B421" s="410" t="s">
        <v>2056</v>
      </c>
      <c r="C421" s="409" t="s">
        <v>1632</v>
      </c>
      <c r="D421" s="405" t="s">
        <v>1631</v>
      </c>
      <c r="E421" s="404" t="s">
        <v>27</v>
      </c>
      <c r="F421" s="409" t="s">
        <v>543</v>
      </c>
      <c r="G421" s="403">
        <f>'MEMORIA DE CÁLCULO REFORMA'!J846</f>
        <v>32.250999999999998</v>
      </c>
      <c r="H421" s="403">
        <v>311.67</v>
      </c>
      <c r="I421" s="403">
        <f>ROUND($H421*(1+$G$14),2)</f>
        <v>399.62</v>
      </c>
      <c r="J421" s="403">
        <f>ROUND(G421*I421,2)</f>
        <v>12888.14</v>
      </c>
    </row>
    <row r="422" spans="2:10" s="401" customFormat="1" ht="12.75" customHeight="1">
      <c r="B422" s="412" t="s">
        <v>2057</v>
      </c>
      <c r="C422" s="600" t="s">
        <v>1630</v>
      </c>
      <c r="D422" s="601"/>
      <c r="E422" s="601"/>
      <c r="F422" s="601"/>
      <c r="G422" s="601"/>
      <c r="H422" s="602"/>
      <c r="I422" s="403"/>
      <c r="J422" s="411">
        <f>SUM(J423:J429)</f>
        <v>15033.090000000002</v>
      </c>
    </row>
    <row r="423" spans="2:10" s="401" customFormat="1" ht="38.25" customHeight="1">
      <c r="B423" s="410" t="s">
        <v>2058</v>
      </c>
      <c r="C423" s="404" t="s">
        <v>1629</v>
      </c>
      <c r="D423" s="405" t="s">
        <v>1628</v>
      </c>
      <c r="E423" s="404" t="s">
        <v>27</v>
      </c>
      <c r="F423" s="404" t="s">
        <v>33</v>
      </c>
      <c r="G423" s="403">
        <f>'MEMORIA DE CÁLCULO REFORMA'!J871</f>
        <v>11</v>
      </c>
      <c r="H423" s="403" t="s">
        <v>1627</v>
      </c>
      <c r="I423" s="403">
        <f t="shared" ref="I423:I429" si="63">ROUND($H423*(1+$G$14),2)</f>
        <v>195.24</v>
      </c>
      <c r="J423" s="403">
        <f t="shared" ref="J423:J429" si="64">ROUND(G423*I423,2)</f>
        <v>2147.64</v>
      </c>
    </row>
    <row r="424" spans="2:10" s="401" customFormat="1" ht="51">
      <c r="B424" s="410" t="s">
        <v>2059</v>
      </c>
      <c r="C424" s="404">
        <v>95472</v>
      </c>
      <c r="D424" s="410" t="s">
        <v>1626</v>
      </c>
      <c r="E424" s="404" t="s">
        <v>27</v>
      </c>
      <c r="F424" s="404" t="s">
        <v>33</v>
      </c>
      <c r="G424" s="403">
        <f>'MEMORIA DE CÁLCULO REFORMA'!J872</f>
        <v>1</v>
      </c>
      <c r="H424" s="403">
        <v>562.38</v>
      </c>
      <c r="I424" s="403">
        <f t="shared" si="63"/>
        <v>721.08</v>
      </c>
      <c r="J424" s="403">
        <f t="shared" si="64"/>
        <v>721.08</v>
      </c>
    </row>
    <row r="425" spans="2:10" s="401" customFormat="1" ht="25.5" customHeight="1">
      <c r="B425" s="410" t="s">
        <v>2060</v>
      </c>
      <c r="C425" s="404" t="s">
        <v>313</v>
      </c>
      <c r="D425" s="405" t="s">
        <v>314</v>
      </c>
      <c r="E425" s="404" t="s">
        <v>27</v>
      </c>
      <c r="F425" s="404" t="s">
        <v>33</v>
      </c>
      <c r="G425" s="403">
        <f>'MEMORIA DE CÁLCULO REFORMA'!J873</f>
        <v>12</v>
      </c>
      <c r="H425" s="403" t="s">
        <v>315</v>
      </c>
      <c r="I425" s="403">
        <f t="shared" si="63"/>
        <v>260.74</v>
      </c>
      <c r="J425" s="403">
        <f t="shared" si="64"/>
        <v>3128.88</v>
      </c>
    </row>
    <row r="426" spans="2:10" s="401" customFormat="1" ht="51" customHeight="1">
      <c r="B426" s="410" t="s">
        <v>2061</v>
      </c>
      <c r="C426" s="404" t="s">
        <v>316</v>
      </c>
      <c r="D426" s="405" t="s">
        <v>317</v>
      </c>
      <c r="E426" s="404" t="s">
        <v>27</v>
      </c>
      <c r="F426" s="404" t="s">
        <v>33</v>
      </c>
      <c r="G426" s="403">
        <f>'MEMORIA DE CÁLCULO REFORMA'!J874</f>
        <v>14</v>
      </c>
      <c r="H426" s="403" t="s">
        <v>318</v>
      </c>
      <c r="I426" s="403">
        <f t="shared" si="63"/>
        <v>417.01</v>
      </c>
      <c r="J426" s="403">
        <f t="shared" si="64"/>
        <v>5838.14</v>
      </c>
    </row>
    <row r="427" spans="2:10" s="401" customFormat="1" ht="51" customHeight="1">
      <c r="B427" s="410" t="s">
        <v>2062</v>
      </c>
      <c r="C427" s="404" t="s">
        <v>319</v>
      </c>
      <c r="D427" s="405" t="s">
        <v>320</v>
      </c>
      <c r="E427" s="404" t="s">
        <v>27</v>
      </c>
      <c r="F427" s="404" t="s">
        <v>33</v>
      </c>
      <c r="G427" s="403">
        <f>'MEMORIA DE CÁLCULO REFORMA'!J875</f>
        <v>4</v>
      </c>
      <c r="H427" s="403" t="s">
        <v>321</v>
      </c>
      <c r="I427" s="403">
        <f t="shared" si="63"/>
        <v>127.32</v>
      </c>
      <c r="J427" s="403">
        <f t="shared" si="64"/>
        <v>509.28</v>
      </c>
    </row>
    <row r="428" spans="2:10" s="401" customFormat="1" ht="25.5">
      <c r="B428" s="410" t="s">
        <v>2063</v>
      </c>
      <c r="C428" s="404" t="s">
        <v>322</v>
      </c>
      <c r="D428" s="405" t="s">
        <v>323</v>
      </c>
      <c r="E428" s="404" t="s">
        <v>27</v>
      </c>
      <c r="F428" s="404" t="s">
        <v>33</v>
      </c>
      <c r="G428" s="403">
        <f>'MEMORIA DE CÁLCULO REFORMA'!J876</f>
        <v>16</v>
      </c>
      <c r="H428" s="403" t="s">
        <v>324</v>
      </c>
      <c r="I428" s="403">
        <f t="shared" si="63"/>
        <v>120.76</v>
      </c>
      <c r="J428" s="403">
        <f t="shared" si="64"/>
        <v>1932.16</v>
      </c>
    </row>
    <row r="429" spans="2:10" s="401" customFormat="1" ht="25.5">
      <c r="B429" s="410" t="s">
        <v>2064</v>
      </c>
      <c r="C429" s="404" t="s">
        <v>1625</v>
      </c>
      <c r="D429" s="405" t="s">
        <v>1624</v>
      </c>
      <c r="E429" s="404" t="s">
        <v>27</v>
      </c>
      <c r="F429" s="404" t="s">
        <v>33</v>
      </c>
      <c r="G429" s="403">
        <f>'MEMORIA DE CÁLCULO REFORMA'!J877</f>
        <v>1</v>
      </c>
      <c r="H429" s="403" t="s">
        <v>1623</v>
      </c>
      <c r="I429" s="403">
        <f t="shared" si="63"/>
        <v>755.91</v>
      </c>
      <c r="J429" s="403">
        <f t="shared" si="64"/>
        <v>755.91</v>
      </c>
    </row>
    <row r="430" spans="2:10" s="401" customFormat="1" ht="12.75" customHeight="1">
      <c r="B430" s="412" t="s">
        <v>2065</v>
      </c>
      <c r="C430" s="600" t="s">
        <v>1622</v>
      </c>
      <c r="D430" s="601"/>
      <c r="E430" s="601"/>
      <c r="F430" s="601"/>
      <c r="G430" s="601"/>
      <c r="H430" s="602"/>
      <c r="I430" s="411"/>
      <c r="J430" s="411">
        <f>SUM(J431:J435)</f>
        <v>2213.0300000000002</v>
      </c>
    </row>
    <row r="431" spans="2:10" s="401" customFormat="1" ht="25.5" customHeight="1">
      <c r="B431" s="410" t="s">
        <v>2066</v>
      </c>
      <c r="C431" s="404" t="s">
        <v>329</v>
      </c>
      <c r="D431" s="405" t="s">
        <v>330</v>
      </c>
      <c r="E431" s="404" t="s">
        <v>27</v>
      </c>
      <c r="F431" s="404" t="s">
        <v>33</v>
      </c>
      <c r="G431" s="403">
        <f>'MEMORIA DE CÁLCULO REFORMA'!J879</f>
        <v>1</v>
      </c>
      <c r="H431" s="403">
        <v>394.45</v>
      </c>
      <c r="I431" s="403">
        <f>ROUND($H431*(1+$G$14),2)</f>
        <v>505.76</v>
      </c>
      <c r="J431" s="403">
        <f>ROUND(G431*I431,2)</f>
        <v>505.76</v>
      </c>
    </row>
    <row r="432" spans="2:10" s="401" customFormat="1" ht="25.5">
      <c r="B432" s="410" t="s">
        <v>2067</v>
      </c>
      <c r="C432" s="404" t="s">
        <v>331</v>
      </c>
      <c r="D432" s="405" t="s">
        <v>332</v>
      </c>
      <c r="E432" s="404" t="s">
        <v>27</v>
      </c>
      <c r="F432" s="404" t="s">
        <v>33</v>
      </c>
      <c r="G432" s="403">
        <f>'MEMORIA DE CÁLCULO REFORMA'!J880</f>
        <v>1</v>
      </c>
      <c r="H432" s="403">
        <v>167.99</v>
      </c>
      <c r="I432" s="403">
        <f>ROUND($H432*(1+$G$14),2)</f>
        <v>215.4</v>
      </c>
      <c r="J432" s="403">
        <f>ROUND(G432*I432,2)</f>
        <v>215.4</v>
      </c>
    </row>
    <row r="433" spans="2:10" s="401" customFormat="1" ht="54.75" customHeight="1">
      <c r="B433" s="410" t="s">
        <v>2068</v>
      </c>
      <c r="C433" s="404" t="s">
        <v>981</v>
      </c>
      <c r="D433" s="405" t="s">
        <v>1621</v>
      </c>
      <c r="E433" s="404" t="s">
        <v>27</v>
      </c>
      <c r="F433" s="404" t="s">
        <v>33</v>
      </c>
      <c r="G433" s="403">
        <f>G431*6+G434*6</f>
        <v>12</v>
      </c>
      <c r="H433" s="403">
        <v>3.22</v>
      </c>
      <c r="I433" s="403">
        <f>ROUND($H433*(1+$G$14),2)</f>
        <v>4.13</v>
      </c>
      <c r="J433" s="403">
        <f>ROUND(G433*I433,2)</f>
        <v>49.56</v>
      </c>
    </row>
    <row r="434" spans="2:10" s="401" customFormat="1">
      <c r="B434" s="410" t="s">
        <v>2069</v>
      </c>
      <c r="C434" s="404" t="s">
        <v>1620</v>
      </c>
      <c r="D434" s="405" t="s">
        <v>1619</v>
      </c>
      <c r="E434" s="404" t="s">
        <v>27</v>
      </c>
      <c r="F434" s="404" t="s">
        <v>33</v>
      </c>
      <c r="G434" s="403">
        <f>'MEMORIA DE CÁLCULO REFORMA'!J877</f>
        <v>1</v>
      </c>
      <c r="H434" s="403" t="s">
        <v>1618</v>
      </c>
      <c r="I434" s="403">
        <f>ROUND($H434*(1+$G$14),2)</f>
        <v>35.39</v>
      </c>
      <c r="J434" s="403">
        <f>ROUND(G434*I434,2)</f>
        <v>35.39</v>
      </c>
    </row>
    <row r="435" spans="2:10" s="401" customFormat="1" ht="25.5">
      <c r="B435" s="410" t="s">
        <v>2070</v>
      </c>
      <c r="C435" s="404" t="s">
        <v>335</v>
      </c>
      <c r="D435" s="405" t="s">
        <v>336</v>
      </c>
      <c r="E435" s="404" t="s">
        <v>27</v>
      </c>
      <c r="F435" s="404" t="s">
        <v>33</v>
      </c>
      <c r="G435" s="403">
        <f>'MEMORIA DE CÁLCULO REFORMA'!J882</f>
        <v>34</v>
      </c>
      <c r="H435" s="403" t="s">
        <v>337</v>
      </c>
      <c r="I435" s="403">
        <f>ROUND($H435*(1+$G$14),2)</f>
        <v>41.38</v>
      </c>
      <c r="J435" s="403">
        <f>ROUND(G435*I435,2)</f>
        <v>1406.92</v>
      </c>
    </row>
    <row r="436" spans="2:10" s="401" customFormat="1" ht="12.75" customHeight="1">
      <c r="B436" s="412" t="s">
        <v>2071</v>
      </c>
      <c r="C436" s="600" t="s">
        <v>1617</v>
      </c>
      <c r="D436" s="601"/>
      <c r="E436" s="601"/>
      <c r="F436" s="601"/>
      <c r="G436" s="601"/>
      <c r="H436" s="602"/>
      <c r="I436" s="411"/>
      <c r="J436" s="411">
        <f>SUM(J437:J439)</f>
        <v>4664</v>
      </c>
    </row>
    <row r="437" spans="2:10" s="401" customFormat="1" ht="25.5">
      <c r="B437" s="410" t="s">
        <v>2072</v>
      </c>
      <c r="C437" s="404">
        <v>95547</v>
      </c>
      <c r="D437" s="405" t="s">
        <v>1616</v>
      </c>
      <c r="E437" s="404" t="s">
        <v>27</v>
      </c>
      <c r="F437" s="404" t="s">
        <v>33</v>
      </c>
      <c r="G437" s="403">
        <f>'MEMORIA DE CÁLCULO REFORMA'!J884</f>
        <v>12</v>
      </c>
      <c r="H437" s="403">
        <v>45.47</v>
      </c>
      <c r="I437" s="403">
        <f>ROUND($H437*(1+$G$14),2)</f>
        <v>58.3</v>
      </c>
      <c r="J437" s="403">
        <f>ROUND(G437*I437,2)</f>
        <v>699.6</v>
      </c>
    </row>
    <row r="438" spans="2:10" s="401" customFormat="1" ht="25.5">
      <c r="B438" s="410" t="s">
        <v>2073</v>
      </c>
      <c r="C438" s="404">
        <v>95547</v>
      </c>
      <c r="D438" s="410" t="s">
        <v>1615</v>
      </c>
      <c r="E438" s="404" t="s">
        <v>27</v>
      </c>
      <c r="F438" s="404" t="s">
        <v>33</v>
      </c>
      <c r="G438" s="403">
        <f>'MEMORIA DE CÁLCULO REFORMA'!J885</f>
        <v>34</v>
      </c>
      <c r="H438" s="403">
        <v>45.47</v>
      </c>
      <c r="I438" s="403">
        <f>ROUND($H438*(1+$G$14),2)</f>
        <v>58.3</v>
      </c>
      <c r="J438" s="403">
        <f>ROUND(G438*I438,2)</f>
        <v>1982.2</v>
      </c>
    </row>
    <row r="439" spans="2:10" s="401" customFormat="1" ht="38.25">
      <c r="B439" s="410" t="s">
        <v>2074</v>
      </c>
      <c r="C439" s="404">
        <v>95547</v>
      </c>
      <c r="D439" s="405" t="s">
        <v>339</v>
      </c>
      <c r="E439" s="404" t="s">
        <v>27</v>
      </c>
      <c r="F439" s="404" t="s">
        <v>33</v>
      </c>
      <c r="G439" s="403">
        <f>'MEMORIA DE CÁLCULO REFORMA'!J886</f>
        <v>34</v>
      </c>
      <c r="H439" s="403">
        <v>45.47</v>
      </c>
      <c r="I439" s="403">
        <f>ROUND($H439*(1+$G$14),2)</f>
        <v>58.3</v>
      </c>
      <c r="J439" s="403">
        <f>ROUND(G439*I439,2)</f>
        <v>1982.2</v>
      </c>
    </row>
    <row r="440" spans="2:10" s="401" customFormat="1" ht="12.75" customHeight="1">
      <c r="B440" s="408" t="s">
        <v>2075</v>
      </c>
      <c r="C440" s="592" t="s">
        <v>1614</v>
      </c>
      <c r="D440" s="593"/>
      <c r="E440" s="593"/>
      <c r="F440" s="593"/>
      <c r="G440" s="593"/>
      <c r="H440" s="593"/>
      <c r="I440" s="407"/>
      <c r="J440" s="406">
        <f>J441+J443+J447+J458+J462+J466+J473</f>
        <v>22679.219999999998</v>
      </c>
    </row>
    <row r="441" spans="2:10" s="401" customFormat="1" ht="12.75" customHeight="1">
      <c r="B441" s="412" t="s">
        <v>2076</v>
      </c>
      <c r="C441" s="595" t="s">
        <v>1613</v>
      </c>
      <c r="D441" s="596"/>
      <c r="E441" s="596"/>
      <c r="F441" s="596"/>
      <c r="G441" s="596"/>
      <c r="H441" s="596"/>
      <c r="I441" s="403"/>
      <c r="J441" s="411">
        <f>J442</f>
        <v>422.4</v>
      </c>
    </row>
    <row r="442" spans="2:10" s="401" customFormat="1" ht="51">
      <c r="B442" s="410" t="s">
        <v>2077</v>
      </c>
      <c r="C442" s="404" t="s">
        <v>367</v>
      </c>
      <c r="D442" s="405" t="s">
        <v>368</v>
      </c>
      <c r="E442" s="404" t="s">
        <v>27</v>
      </c>
      <c r="F442" s="404" t="s">
        <v>33</v>
      </c>
      <c r="G442" s="403">
        <v>1</v>
      </c>
      <c r="H442" s="403" t="s">
        <v>369</v>
      </c>
      <c r="I442" s="403">
        <f>ROUND($H442*(1+$G$14),2)</f>
        <v>422.4</v>
      </c>
      <c r="J442" s="403">
        <f>ROUND(G442*I442,2)</f>
        <v>422.4</v>
      </c>
    </row>
    <row r="443" spans="2:10" s="401" customFormat="1" ht="12.75" customHeight="1">
      <c r="B443" s="412" t="s">
        <v>2078</v>
      </c>
      <c r="C443" s="595" t="s">
        <v>1611</v>
      </c>
      <c r="D443" s="596"/>
      <c r="E443" s="596"/>
      <c r="F443" s="596"/>
      <c r="G443" s="596"/>
      <c r="H443" s="596"/>
      <c r="I443" s="403"/>
      <c r="J443" s="411">
        <f>SUM(J444:J446)</f>
        <v>353.75</v>
      </c>
    </row>
    <row r="444" spans="2:10" s="401" customFormat="1">
      <c r="B444" s="410" t="s">
        <v>2079</v>
      </c>
      <c r="C444" s="404" t="s">
        <v>389</v>
      </c>
      <c r="D444" s="405" t="s">
        <v>1610</v>
      </c>
      <c r="E444" s="404" t="s">
        <v>27</v>
      </c>
      <c r="F444" s="404" t="s">
        <v>33</v>
      </c>
      <c r="G444" s="403">
        <v>3</v>
      </c>
      <c r="H444" s="403" t="s">
        <v>391</v>
      </c>
      <c r="I444" s="403">
        <f>ROUND($H444*(1+$G$14),2)</f>
        <v>77.12</v>
      </c>
      <c r="J444" s="403">
        <f>ROUND(G444*I444,2)</f>
        <v>231.36</v>
      </c>
    </row>
    <row r="445" spans="2:10" s="401" customFormat="1">
      <c r="B445" s="410" t="s">
        <v>2080</v>
      </c>
      <c r="C445" s="404" t="s">
        <v>374</v>
      </c>
      <c r="D445" s="405" t="s">
        <v>1609</v>
      </c>
      <c r="E445" s="404" t="s">
        <v>27</v>
      </c>
      <c r="F445" s="404" t="s">
        <v>33</v>
      </c>
      <c r="G445" s="403">
        <v>3</v>
      </c>
      <c r="H445" s="403" t="s">
        <v>376</v>
      </c>
      <c r="I445" s="403">
        <f>ROUND($H445*(1+$G$14),2)</f>
        <v>12.64</v>
      </c>
      <c r="J445" s="403">
        <f>ROUND(G445*I445,2)</f>
        <v>37.92</v>
      </c>
    </row>
    <row r="446" spans="2:10" s="401" customFormat="1">
      <c r="B446" s="410" t="s">
        <v>2081</v>
      </c>
      <c r="C446" s="404" t="s">
        <v>395</v>
      </c>
      <c r="D446" s="405" t="s">
        <v>1608</v>
      </c>
      <c r="E446" s="404" t="s">
        <v>27</v>
      </c>
      <c r="F446" s="404" t="s">
        <v>33</v>
      </c>
      <c r="G446" s="403">
        <v>1</v>
      </c>
      <c r="H446" s="403" t="s">
        <v>397</v>
      </c>
      <c r="I446" s="403">
        <f>ROUND($H446*(1+$G$14),2)</f>
        <v>84.47</v>
      </c>
      <c r="J446" s="403">
        <f>ROUND(G446*I446,2)</f>
        <v>84.47</v>
      </c>
    </row>
    <row r="447" spans="2:10" s="401" customFormat="1" ht="12.75" customHeight="1">
      <c r="B447" s="412" t="s">
        <v>2082</v>
      </c>
      <c r="C447" s="595" t="s">
        <v>1607</v>
      </c>
      <c r="D447" s="596"/>
      <c r="E447" s="596"/>
      <c r="F447" s="596"/>
      <c r="G447" s="596"/>
      <c r="H447" s="596"/>
      <c r="I447" s="403"/>
      <c r="J447" s="411">
        <f>SUM(J448:J457)</f>
        <v>4754.68</v>
      </c>
    </row>
    <row r="448" spans="2:10" s="401" customFormat="1" ht="38.25">
      <c r="B448" s="410" t="s">
        <v>2083</v>
      </c>
      <c r="C448" s="404" t="s">
        <v>405</v>
      </c>
      <c r="D448" s="405" t="s">
        <v>406</v>
      </c>
      <c r="E448" s="404" t="s">
        <v>27</v>
      </c>
      <c r="F448" s="404" t="s">
        <v>97</v>
      </c>
      <c r="G448" s="403">
        <v>156</v>
      </c>
      <c r="H448" s="403" t="s">
        <v>407</v>
      </c>
      <c r="I448" s="403">
        <f t="shared" ref="I448:I457" si="65">ROUND($H448*(1+$G$14),2)</f>
        <v>9.8000000000000007</v>
      </c>
      <c r="J448" s="403">
        <f t="shared" ref="J448:J457" si="66">ROUND(G448*I448,2)</f>
        <v>1528.8</v>
      </c>
    </row>
    <row r="449" spans="2:10" s="401" customFormat="1" ht="38.25">
      <c r="B449" s="410" t="s">
        <v>2084</v>
      </c>
      <c r="C449" s="404" t="s">
        <v>408</v>
      </c>
      <c r="D449" s="405" t="s">
        <v>409</v>
      </c>
      <c r="E449" s="404" t="s">
        <v>27</v>
      </c>
      <c r="F449" s="404" t="s">
        <v>97</v>
      </c>
      <c r="G449" s="403">
        <v>45</v>
      </c>
      <c r="H449" s="403" t="s">
        <v>410</v>
      </c>
      <c r="I449" s="403">
        <f t="shared" si="65"/>
        <v>12.82</v>
      </c>
      <c r="J449" s="403">
        <f t="shared" si="66"/>
        <v>576.9</v>
      </c>
    </row>
    <row r="450" spans="2:10" s="401" customFormat="1" ht="38.25">
      <c r="B450" s="410" t="s">
        <v>2085</v>
      </c>
      <c r="C450" s="404" t="s">
        <v>411</v>
      </c>
      <c r="D450" s="405" t="s">
        <v>412</v>
      </c>
      <c r="E450" s="404" t="s">
        <v>27</v>
      </c>
      <c r="F450" s="404" t="s">
        <v>97</v>
      </c>
      <c r="G450" s="403">
        <v>6</v>
      </c>
      <c r="H450" s="403" t="s">
        <v>413</v>
      </c>
      <c r="I450" s="403">
        <f t="shared" si="65"/>
        <v>15.89</v>
      </c>
      <c r="J450" s="403">
        <f t="shared" si="66"/>
        <v>95.34</v>
      </c>
    </row>
    <row r="451" spans="2:10" s="401" customFormat="1" ht="25.5">
      <c r="B451" s="410" t="s">
        <v>2086</v>
      </c>
      <c r="C451" s="404" t="s">
        <v>414</v>
      </c>
      <c r="D451" s="405" t="s">
        <v>415</v>
      </c>
      <c r="E451" s="404" t="s">
        <v>27</v>
      </c>
      <c r="F451" s="404" t="s">
        <v>97</v>
      </c>
      <c r="G451" s="403">
        <v>18</v>
      </c>
      <c r="H451" s="403" t="s">
        <v>416</v>
      </c>
      <c r="I451" s="403">
        <f t="shared" si="65"/>
        <v>48.69</v>
      </c>
      <c r="J451" s="403">
        <f t="shared" si="66"/>
        <v>876.42</v>
      </c>
    </row>
    <row r="452" spans="2:10" s="401" customFormat="1" ht="38.25">
      <c r="B452" s="410" t="s">
        <v>2087</v>
      </c>
      <c r="C452" s="404">
        <v>91884</v>
      </c>
      <c r="D452" s="410" t="s">
        <v>1606</v>
      </c>
      <c r="E452" s="404" t="s">
        <v>27</v>
      </c>
      <c r="F452" s="404" t="s">
        <v>33</v>
      </c>
      <c r="G452" s="403">
        <v>50</v>
      </c>
      <c r="H452" s="403" t="s">
        <v>1605</v>
      </c>
      <c r="I452" s="403">
        <f t="shared" si="65"/>
        <v>8.86</v>
      </c>
      <c r="J452" s="403">
        <f t="shared" si="66"/>
        <v>443</v>
      </c>
    </row>
    <row r="453" spans="2:10" s="401" customFormat="1" ht="38.25">
      <c r="B453" s="410" t="s">
        <v>2088</v>
      </c>
      <c r="C453" s="404">
        <v>91885</v>
      </c>
      <c r="D453" s="410" t="s">
        <v>1604</v>
      </c>
      <c r="E453" s="404" t="s">
        <v>27</v>
      </c>
      <c r="F453" s="404" t="s">
        <v>33</v>
      </c>
      <c r="G453" s="403">
        <v>15</v>
      </c>
      <c r="H453" s="403" t="s">
        <v>1603</v>
      </c>
      <c r="I453" s="403">
        <f t="shared" si="65"/>
        <v>10.42</v>
      </c>
      <c r="J453" s="403">
        <f t="shared" si="66"/>
        <v>156.30000000000001</v>
      </c>
    </row>
    <row r="454" spans="2:10" s="401" customFormat="1" ht="38.25">
      <c r="B454" s="410" t="s">
        <v>2089</v>
      </c>
      <c r="C454" s="404">
        <v>91886</v>
      </c>
      <c r="D454" s="410" t="s">
        <v>1602</v>
      </c>
      <c r="E454" s="404" t="s">
        <v>27</v>
      </c>
      <c r="F454" s="404" t="s">
        <v>33</v>
      </c>
      <c r="G454" s="403">
        <v>2</v>
      </c>
      <c r="H454" s="403" t="s">
        <v>1601</v>
      </c>
      <c r="I454" s="403">
        <f t="shared" si="65"/>
        <v>12.53</v>
      </c>
      <c r="J454" s="403">
        <f t="shared" si="66"/>
        <v>25.06</v>
      </c>
    </row>
    <row r="455" spans="2:10" s="401" customFormat="1" ht="25.5">
      <c r="B455" s="410" t="s">
        <v>2090</v>
      </c>
      <c r="C455" s="404">
        <v>93017</v>
      </c>
      <c r="D455" s="410" t="s">
        <v>1600</v>
      </c>
      <c r="E455" s="404" t="s">
        <v>27</v>
      </c>
      <c r="F455" s="404" t="s">
        <v>33</v>
      </c>
      <c r="G455" s="403">
        <v>4</v>
      </c>
      <c r="H455" s="403" t="s">
        <v>1599</v>
      </c>
      <c r="I455" s="403">
        <f t="shared" si="65"/>
        <v>45.13</v>
      </c>
      <c r="J455" s="403">
        <f t="shared" si="66"/>
        <v>180.52</v>
      </c>
    </row>
    <row r="456" spans="2:10" s="401" customFormat="1" ht="38.25">
      <c r="B456" s="410" t="s">
        <v>2091</v>
      </c>
      <c r="C456" s="404">
        <v>91941</v>
      </c>
      <c r="D456" s="410" t="s">
        <v>1598</v>
      </c>
      <c r="E456" s="404" t="s">
        <v>27</v>
      </c>
      <c r="F456" s="409" t="s">
        <v>23</v>
      </c>
      <c r="G456" s="403">
        <v>71</v>
      </c>
      <c r="H456" s="403" t="s">
        <v>1597</v>
      </c>
      <c r="I456" s="403">
        <f t="shared" si="65"/>
        <v>9.6</v>
      </c>
      <c r="J456" s="403">
        <f t="shared" si="66"/>
        <v>681.6</v>
      </c>
    </row>
    <row r="457" spans="2:10" s="401" customFormat="1">
      <c r="B457" s="410" t="s">
        <v>2092</v>
      </c>
      <c r="C457" s="404" t="s">
        <v>417</v>
      </c>
      <c r="D457" s="405" t="s">
        <v>418</v>
      </c>
      <c r="E457" s="404" t="s">
        <v>27</v>
      </c>
      <c r="F457" s="404" t="s">
        <v>33</v>
      </c>
      <c r="G457" s="403">
        <v>1</v>
      </c>
      <c r="H457" s="403" t="s">
        <v>419</v>
      </c>
      <c r="I457" s="403">
        <f t="shared" si="65"/>
        <v>190.74</v>
      </c>
      <c r="J457" s="403">
        <f t="shared" si="66"/>
        <v>190.74</v>
      </c>
    </row>
    <row r="458" spans="2:10" s="401" customFormat="1" ht="12.75" customHeight="1">
      <c r="B458" s="412" t="s">
        <v>2093</v>
      </c>
      <c r="C458" s="595" t="s">
        <v>1596</v>
      </c>
      <c r="D458" s="596"/>
      <c r="E458" s="596"/>
      <c r="F458" s="596"/>
      <c r="G458" s="596"/>
      <c r="H458" s="596"/>
      <c r="I458" s="403"/>
      <c r="J458" s="411">
        <f>SUM(J459:J461)</f>
        <v>4756.5</v>
      </c>
    </row>
    <row r="459" spans="2:10" s="401" customFormat="1" ht="38.25">
      <c r="B459" s="410" t="s">
        <v>2094</v>
      </c>
      <c r="C459" s="404" t="s">
        <v>421</v>
      </c>
      <c r="D459" s="405" t="s">
        <v>422</v>
      </c>
      <c r="E459" s="404" t="s">
        <v>27</v>
      </c>
      <c r="F459" s="404" t="s">
        <v>97</v>
      </c>
      <c r="G459" s="403">
        <v>850</v>
      </c>
      <c r="H459" s="403" t="s">
        <v>423</v>
      </c>
      <c r="I459" s="403">
        <f>ROUND($H459*(1+$G$14),2)</f>
        <v>3.81</v>
      </c>
      <c r="J459" s="403">
        <f>ROUND(G459*I459,2)</f>
        <v>3238.5</v>
      </c>
    </row>
    <row r="460" spans="2:10" s="401" customFormat="1" ht="38.25">
      <c r="B460" s="410" t="s">
        <v>2095</v>
      </c>
      <c r="C460" s="404" t="s">
        <v>424</v>
      </c>
      <c r="D460" s="405" t="s">
        <v>425</v>
      </c>
      <c r="E460" s="404" t="s">
        <v>27</v>
      </c>
      <c r="F460" s="404" t="s">
        <v>97</v>
      </c>
      <c r="G460" s="403">
        <v>150</v>
      </c>
      <c r="H460" s="403" t="s">
        <v>426</v>
      </c>
      <c r="I460" s="403">
        <f>ROUND($H460*(1+$G$14),2)</f>
        <v>5.39</v>
      </c>
      <c r="J460" s="403">
        <f>ROUND(G460*I460,2)</f>
        <v>808.5</v>
      </c>
    </row>
    <row r="461" spans="2:10" s="401" customFormat="1" ht="38.25">
      <c r="B461" s="410" t="s">
        <v>2096</v>
      </c>
      <c r="C461" s="404" t="s">
        <v>427</v>
      </c>
      <c r="D461" s="405" t="s">
        <v>428</v>
      </c>
      <c r="E461" s="404" t="s">
        <v>27</v>
      </c>
      <c r="F461" s="404" t="s">
        <v>97</v>
      </c>
      <c r="G461" s="403">
        <v>110</v>
      </c>
      <c r="H461" s="403" t="s">
        <v>429</v>
      </c>
      <c r="I461" s="403">
        <f>ROUND($H461*(1+$G$14),2)</f>
        <v>6.45</v>
      </c>
      <c r="J461" s="403">
        <f>ROUND(G461*I461,2)</f>
        <v>709.5</v>
      </c>
    </row>
    <row r="462" spans="2:10" s="401" customFormat="1" ht="12.75" customHeight="1">
      <c r="B462" s="412" t="s">
        <v>2097</v>
      </c>
      <c r="C462" s="595" t="s">
        <v>1595</v>
      </c>
      <c r="D462" s="596"/>
      <c r="E462" s="596"/>
      <c r="F462" s="596"/>
      <c r="G462" s="596"/>
      <c r="H462" s="596"/>
      <c r="I462" s="403"/>
      <c r="J462" s="411">
        <f>SUM(J463:J465)</f>
        <v>1711.47</v>
      </c>
    </row>
    <row r="463" spans="2:10" s="401" customFormat="1" ht="25.5">
      <c r="B463" s="410" t="s">
        <v>2098</v>
      </c>
      <c r="C463" s="409" t="s">
        <v>1055</v>
      </c>
      <c r="D463" s="405" t="s">
        <v>1594</v>
      </c>
      <c r="E463" s="409" t="s">
        <v>21</v>
      </c>
      <c r="F463" s="404" t="s">
        <v>97</v>
      </c>
      <c r="G463" s="403">
        <v>12</v>
      </c>
      <c r="H463" s="403">
        <f>'COMPOSICOES REFORMA'!G293</f>
        <v>37.260000000000005</v>
      </c>
      <c r="I463" s="403">
        <f t="shared" ref="I463:I472" si="67">ROUND($H463*(1+$G$14),2)</f>
        <v>47.77</v>
      </c>
      <c r="J463" s="403">
        <f>ROUND(G463*I463,2)</f>
        <v>573.24</v>
      </c>
    </row>
    <row r="464" spans="2:10" s="401" customFormat="1" ht="25.5">
      <c r="B464" s="410" t="s">
        <v>2099</v>
      </c>
      <c r="C464" s="409" t="s">
        <v>1593</v>
      </c>
      <c r="D464" s="405" t="s">
        <v>1592</v>
      </c>
      <c r="E464" s="409" t="s">
        <v>21</v>
      </c>
      <c r="F464" s="404" t="s">
        <v>433</v>
      </c>
      <c r="G464" s="403">
        <v>12</v>
      </c>
      <c r="H464" s="403">
        <f>'COMPOSICOES REFORMA'!G351</f>
        <v>68.94</v>
      </c>
      <c r="I464" s="403">
        <f t="shared" si="67"/>
        <v>88.39</v>
      </c>
      <c r="J464" s="403">
        <f>ROUND(G464*I464,2)</f>
        <v>1060.68</v>
      </c>
    </row>
    <row r="465" spans="2:10" s="401" customFormat="1" ht="25.5">
      <c r="B465" s="410" t="s">
        <v>2100</v>
      </c>
      <c r="C465" s="409" t="s">
        <v>1058</v>
      </c>
      <c r="D465" s="405" t="s">
        <v>1591</v>
      </c>
      <c r="E465" s="409" t="s">
        <v>21</v>
      </c>
      <c r="F465" s="404" t="s">
        <v>236</v>
      </c>
      <c r="G465" s="403">
        <v>1</v>
      </c>
      <c r="H465" s="403">
        <f>'COMPOSICOES REFORMA'!G407</f>
        <v>60.480000000000004</v>
      </c>
      <c r="I465" s="403">
        <f t="shared" si="67"/>
        <v>77.55</v>
      </c>
      <c r="J465" s="403">
        <f>ROUND(G465*I465,2)</f>
        <v>77.55</v>
      </c>
    </row>
    <row r="466" spans="2:10" s="413" customFormat="1" ht="12.75" customHeight="1">
      <c r="B466" s="412" t="s">
        <v>2101</v>
      </c>
      <c r="C466" s="595" t="s">
        <v>1590</v>
      </c>
      <c r="D466" s="596"/>
      <c r="E466" s="596"/>
      <c r="F466" s="596"/>
      <c r="G466" s="596"/>
      <c r="H466" s="596"/>
      <c r="I466" s="411">
        <f t="shared" si="67"/>
        <v>0</v>
      </c>
      <c r="J466" s="411">
        <f>SUM(J467:J472)</f>
        <v>1454.31</v>
      </c>
    </row>
    <row r="467" spans="2:10" s="401" customFormat="1" ht="38.25">
      <c r="B467" s="410" t="s">
        <v>2102</v>
      </c>
      <c r="C467" s="404" t="s">
        <v>438</v>
      </c>
      <c r="D467" s="405" t="s">
        <v>439</v>
      </c>
      <c r="E467" s="404" t="s">
        <v>27</v>
      </c>
      <c r="F467" s="404" t="s">
        <v>33</v>
      </c>
      <c r="G467" s="403">
        <v>8</v>
      </c>
      <c r="H467" s="403" t="s">
        <v>440</v>
      </c>
      <c r="I467" s="403">
        <f t="shared" si="67"/>
        <v>24.66</v>
      </c>
      <c r="J467" s="403">
        <f t="shared" ref="J467:J472" si="68">ROUND(G467*I467,2)</f>
        <v>197.28</v>
      </c>
    </row>
    <row r="468" spans="2:10" s="401" customFormat="1" ht="38.25">
      <c r="B468" s="410" t="s">
        <v>2103</v>
      </c>
      <c r="C468" s="404" t="s">
        <v>441</v>
      </c>
      <c r="D468" s="405" t="s">
        <v>442</v>
      </c>
      <c r="E468" s="404" t="s">
        <v>27</v>
      </c>
      <c r="F468" s="404" t="s">
        <v>33</v>
      </c>
      <c r="G468" s="403">
        <v>1</v>
      </c>
      <c r="H468" s="403" t="s">
        <v>443</v>
      </c>
      <c r="I468" s="403">
        <f t="shared" si="67"/>
        <v>30.63</v>
      </c>
      <c r="J468" s="403">
        <f t="shared" si="68"/>
        <v>30.63</v>
      </c>
    </row>
    <row r="469" spans="2:10" s="401" customFormat="1" ht="38.25">
      <c r="B469" s="410" t="s">
        <v>2104</v>
      </c>
      <c r="C469" s="404">
        <v>92000</v>
      </c>
      <c r="D469" s="410" t="s">
        <v>1587</v>
      </c>
      <c r="E469" s="404" t="s">
        <v>27</v>
      </c>
      <c r="F469" s="404" t="s">
        <v>33</v>
      </c>
      <c r="G469" s="403">
        <v>13</v>
      </c>
      <c r="H469" s="403" t="s">
        <v>1586</v>
      </c>
      <c r="I469" s="403">
        <f t="shared" si="67"/>
        <v>26.02</v>
      </c>
      <c r="J469" s="403">
        <f t="shared" si="68"/>
        <v>338.26</v>
      </c>
    </row>
    <row r="470" spans="2:10" s="401" customFormat="1" ht="38.25">
      <c r="B470" s="410" t="s">
        <v>2105</v>
      </c>
      <c r="C470" s="404">
        <v>92008</v>
      </c>
      <c r="D470" s="410" t="s">
        <v>1584</v>
      </c>
      <c r="E470" s="404" t="s">
        <v>27</v>
      </c>
      <c r="F470" s="404" t="s">
        <v>33</v>
      </c>
      <c r="G470" s="403">
        <v>11</v>
      </c>
      <c r="H470" s="403" t="s">
        <v>1583</v>
      </c>
      <c r="I470" s="403">
        <f t="shared" si="67"/>
        <v>41.66</v>
      </c>
      <c r="J470" s="403">
        <f t="shared" si="68"/>
        <v>458.26</v>
      </c>
    </row>
    <row r="471" spans="2:10" s="401" customFormat="1" ht="38.25">
      <c r="B471" s="410" t="s">
        <v>2106</v>
      </c>
      <c r="C471" s="404">
        <v>92001</v>
      </c>
      <c r="D471" s="410" t="s">
        <v>962</v>
      </c>
      <c r="E471" s="404" t="s">
        <v>27</v>
      </c>
      <c r="F471" s="404" t="s">
        <v>33</v>
      </c>
      <c r="G471" s="403">
        <v>8</v>
      </c>
      <c r="H471" s="403" t="s">
        <v>1582</v>
      </c>
      <c r="I471" s="403">
        <f t="shared" si="67"/>
        <v>27.99</v>
      </c>
      <c r="J471" s="403">
        <f t="shared" si="68"/>
        <v>223.92</v>
      </c>
    </row>
    <row r="472" spans="2:10" s="401" customFormat="1" ht="51">
      <c r="B472" s="410" t="s">
        <v>2107</v>
      </c>
      <c r="C472" s="404">
        <v>93144</v>
      </c>
      <c r="D472" s="410" t="s">
        <v>973</v>
      </c>
      <c r="E472" s="404" t="s">
        <v>27</v>
      </c>
      <c r="F472" s="404" t="s">
        <v>236</v>
      </c>
      <c r="G472" s="403">
        <v>1</v>
      </c>
      <c r="H472" s="403" t="s">
        <v>1581</v>
      </c>
      <c r="I472" s="403">
        <f t="shared" si="67"/>
        <v>205.96</v>
      </c>
      <c r="J472" s="403">
        <f t="shared" si="68"/>
        <v>205.96</v>
      </c>
    </row>
    <row r="473" spans="2:10" s="401" customFormat="1" ht="12.75" customHeight="1">
      <c r="B473" s="412" t="s">
        <v>2108</v>
      </c>
      <c r="C473" s="595" t="s">
        <v>1580</v>
      </c>
      <c r="D473" s="596"/>
      <c r="E473" s="596"/>
      <c r="F473" s="596"/>
      <c r="G473" s="596"/>
      <c r="H473" s="596"/>
      <c r="I473" s="403"/>
      <c r="J473" s="411">
        <f>SUM(J474:J477)</f>
        <v>9226.1099999999988</v>
      </c>
    </row>
    <row r="474" spans="2:10" s="401" customFormat="1">
      <c r="B474" s="410" t="s">
        <v>2109</v>
      </c>
      <c r="C474" s="404" t="s">
        <v>445</v>
      </c>
      <c r="D474" s="405" t="s">
        <v>1579</v>
      </c>
      <c r="E474" s="404" t="s">
        <v>27</v>
      </c>
      <c r="F474" s="404" t="s">
        <v>33</v>
      </c>
      <c r="G474" s="403">
        <v>3</v>
      </c>
      <c r="H474" s="403" t="s">
        <v>447</v>
      </c>
      <c r="I474" s="403">
        <f>ROUND($H474*(1+$G$14),2)</f>
        <v>73.19</v>
      </c>
      <c r="J474" s="403">
        <f>ROUND(G474*I474,2)</f>
        <v>219.57</v>
      </c>
    </row>
    <row r="475" spans="2:10" s="401" customFormat="1">
      <c r="B475" s="410" t="s">
        <v>2110</v>
      </c>
      <c r="C475" s="404" t="s">
        <v>448</v>
      </c>
      <c r="D475" s="405" t="s">
        <v>449</v>
      </c>
      <c r="E475" s="404" t="s">
        <v>27</v>
      </c>
      <c r="F475" s="404" t="s">
        <v>33</v>
      </c>
      <c r="G475" s="403">
        <v>54</v>
      </c>
      <c r="H475" s="403" t="s">
        <v>450</v>
      </c>
      <c r="I475" s="403">
        <f>ROUND($H475*(1+$G$14),2)</f>
        <v>99.82</v>
      </c>
      <c r="J475" s="403">
        <f>ROUND(G475*I475,2)</f>
        <v>5390.28</v>
      </c>
    </row>
    <row r="476" spans="2:10" s="401" customFormat="1">
      <c r="B476" s="410" t="s">
        <v>2111</v>
      </c>
      <c r="C476" s="404" t="s">
        <v>451</v>
      </c>
      <c r="D476" s="405" t="s">
        <v>452</v>
      </c>
      <c r="E476" s="404" t="s">
        <v>27</v>
      </c>
      <c r="F476" s="404" t="s">
        <v>33</v>
      </c>
      <c r="G476" s="403">
        <v>2</v>
      </c>
      <c r="H476" s="403" t="s">
        <v>453</v>
      </c>
      <c r="I476" s="403">
        <f>ROUND($H476*(1+$G$14),2)</f>
        <v>96.06</v>
      </c>
      <c r="J476" s="403">
        <f>ROUND(G476*I476,2)</f>
        <v>192.12</v>
      </c>
    </row>
    <row r="477" spans="2:10" s="401" customFormat="1">
      <c r="B477" s="410" t="s">
        <v>2112</v>
      </c>
      <c r="C477" s="404" t="s">
        <v>454</v>
      </c>
      <c r="D477" s="405" t="s">
        <v>455</v>
      </c>
      <c r="E477" s="404" t="s">
        <v>27</v>
      </c>
      <c r="F477" s="404" t="s">
        <v>33</v>
      </c>
      <c r="G477" s="403">
        <v>27</v>
      </c>
      <c r="H477" s="403" t="s">
        <v>456</v>
      </c>
      <c r="I477" s="403">
        <f>ROUND($H477*(1+$G$14),2)</f>
        <v>126.82</v>
      </c>
      <c r="J477" s="403">
        <f>ROUND(G477*I477,2)</f>
        <v>3424.14</v>
      </c>
    </row>
    <row r="478" spans="2:10" s="401" customFormat="1" ht="12.75" customHeight="1">
      <c r="B478" s="547" t="s">
        <v>2113</v>
      </c>
      <c r="C478" s="592" t="s">
        <v>1578</v>
      </c>
      <c r="D478" s="593"/>
      <c r="E478" s="593"/>
      <c r="F478" s="593"/>
      <c r="G478" s="593"/>
      <c r="H478" s="593"/>
      <c r="I478" s="407"/>
      <c r="J478" s="406">
        <f>J479</f>
        <v>5151.74</v>
      </c>
    </row>
    <row r="479" spans="2:10" s="401" customFormat="1" ht="38.25">
      <c r="B479" s="410" t="s">
        <v>2114</v>
      </c>
      <c r="C479" s="409" t="s">
        <v>1059</v>
      </c>
      <c r="D479" s="410" t="s">
        <v>1577</v>
      </c>
      <c r="E479" s="409" t="s">
        <v>21</v>
      </c>
      <c r="F479" s="404" t="s">
        <v>33</v>
      </c>
      <c r="G479" s="403">
        <f>'MEMORIA DE CÁLCULO REFORMA'!J891</f>
        <v>11</v>
      </c>
      <c r="H479" s="403">
        <f>'COMPOSICOES REFORMA'!G462</f>
        <v>365.26</v>
      </c>
      <c r="I479" s="403">
        <f>ROUND($H479*(1+$G$14),2)</f>
        <v>468.34</v>
      </c>
      <c r="J479" s="403">
        <f>ROUND(G479*I479,2)</f>
        <v>5151.74</v>
      </c>
    </row>
    <row r="480" spans="2:10" s="401" customFormat="1" ht="12.75" customHeight="1">
      <c r="B480" s="547" t="s">
        <v>2115</v>
      </c>
      <c r="C480" s="592" t="s">
        <v>1576</v>
      </c>
      <c r="D480" s="593"/>
      <c r="E480" s="593"/>
      <c r="F480" s="593"/>
      <c r="G480" s="593"/>
      <c r="H480" s="593"/>
      <c r="I480" s="407"/>
      <c r="J480" s="406">
        <f>J481</f>
        <v>2386.04</v>
      </c>
    </row>
    <row r="481" spans="2:10" s="401" customFormat="1">
      <c r="B481" s="410" t="s">
        <v>2116</v>
      </c>
      <c r="C481" s="404" t="s">
        <v>484</v>
      </c>
      <c r="D481" s="405" t="s">
        <v>485</v>
      </c>
      <c r="E481" s="404" t="s">
        <v>27</v>
      </c>
      <c r="F481" s="404" t="s">
        <v>28</v>
      </c>
      <c r="G481" s="403">
        <f>'MEMORIA DE CÁLCULO REFORMA'!J893</f>
        <v>890.3125</v>
      </c>
      <c r="H481" s="403" t="s">
        <v>486</v>
      </c>
      <c r="I481" s="403">
        <f>ROUND($H481*(1+$G$14),2)</f>
        <v>2.68</v>
      </c>
      <c r="J481" s="403">
        <f>ROUND(G481*I481,2)</f>
        <v>2386.04</v>
      </c>
    </row>
    <row r="482" spans="2:10" s="401" customFormat="1">
      <c r="B482" s="402"/>
      <c r="C482" s="402"/>
    </row>
    <row r="483" spans="2:10" s="401" customFormat="1">
      <c r="B483" s="589" t="s">
        <v>2128</v>
      </c>
      <c r="C483" s="589"/>
      <c r="D483" s="589"/>
      <c r="E483" s="589"/>
      <c r="F483" s="589"/>
      <c r="G483" s="589"/>
      <c r="H483" s="589"/>
      <c r="I483" s="589"/>
      <c r="J483" s="576">
        <f>J324+J326+J338+J342+J352+J354+J358+J368+J376+J413+J419+J440+J478+J480</f>
        <v>518132.68999999989</v>
      </c>
    </row>
    <row r="484" spans="2:10" s="401" customFormat="1">
      <c r="B484" s="402"/>
      <c r="C484" s="402"/>
    </row>
    <row r="485" spans="2:10" s="401" customFormat="1">
      <c r="B485" s="589" t="s">
        <v>487</v>
      </c>
      <c r="C485" s="589"/>
      <c r="D485" s="589"/>
      <c r="E485" s="589"/>
      <c r="F485" s="589"/>
      <c r="G485" s="589"/>
      <c r="H485" s="589"/>
      <c r="I485" s="589"/>
      <c r="J485" s="576">
        <f>SUM(J483,J321)</f>
        <v>2395524.1000000006</v>
      </c>
    </row>
  </sheetData>
  <mergeCells count="90">
    <mergeCell ref="C31:D31"/>
    <mergeCell ref="C24:D24"/>
    <mergeCell ref="C57:D57"/>
    <mergeCell ref="C59:D59"/>
    <mergeCell ref="C62:D62"/>
    <mergeCell ref="C38:D38"/>
    <mergeCell ref="C53:D53"/>
    <mergeCell ref="C52:D52"/>
    <mergeCell ref="C47:D47"/>
    <mergeCell ref="C46:D46"/>
    <mergeCell ref="C49:D49"/>
    <mergeCell ref="C37:D37"/>
    <mergeCell ref="C32:D32"/>
    <mergeCell ref="B321:I321"/>
    <mergeCell ref="C299:D299"/>
    <mergeCell ref="C300:D300"/>
    <mergeCell ref="C302:D302"/>
    <mergeCell ref="C288:D288"/>
    <mergeCell ref="C291:D291"/>
    <mergeCell ref="C305:D305"/>
    <mergeCell ref="C318:D318"/>
    <mergeCell ref="C274:D274"/>
    <mergeCell ref="C146:D146"/>
    <mergeCell ref="C148:D148"/>
    <mergeCell ref="C220:D220"/>
    <mergeCell ref="C217:D217"/>
    <mergeCell ref="C265:D265"/>
    <mergeCell ref="C255:D255"/>
    <mergeCell ref="C247:D247"/>
    <mergeCell ref="C243:D243"/>
    <mergeCell ref="C231:D231"/>
    <mergeCell ref="C158:D158"/>
    <mergeCell ref="C216:D216"/>
    <mergeCell ref="C184:D184"/>
    <mergeCell ref="C185:D185"/>
    <mergeCell ref="C187:D187"/>
    <mergeCell ref="C205:D205"/>
    <mergeCell ref="C98:D98"/>
    <mergeCell ref="C270:D270"/>
    <mergeCell ref="C104:D104"/>
    <mergeCell ref="C105:D105"/>
    <mergeCell ref="C137:D137"/>
    <mergeCell ref="C194:D194"/>
    <mergeCell ref="C201:D201"/>
    <mergeCell ref="C90:D90"/>
    <mergeCell ref="C89:D89"/>
    <mergeCell ref="C64:D64"/>
    <mergeCell ref="C56:D56"/>
    <mergeCell ref="C75:D75"/>
    <mergeCell ref="C78:D78"/>
    <mergeCell ref="C69:D69"/>
    <mergeCell ref="B2:J8"/>
    <mergeCell ref="B16:J16"/>
    <mergeCell ref="B17:J17"/>
    <mergeCell ref="B18:J18"/>
    <mergeCell ref="C22:D22"/>
    <mergeCell ref="C21:D21"/>
    <mergeCell ref="C480:H480"/>
    <mergeCell ref="B483:I483"/>
    <mergeCell ref="C443:H443"/>
    <mergeCell ref="C447:H447"/>
    <mergeCell ref="C458:H458"/>
    <mergeCell ref="C462:H462"/>
    <mergeCell ref="C466:H466"/>
    <mergeCell ref="C430:H430"/>
    <mergeCell ref="C436:H436"/>
    <mergeCell ref="C441:H441"/>
    <mergeCell ref="C473:H473"/>
    <mergeCell ref="C478:H478"/>
    <mergeCell ref="C406:H406"/>
    <mergeCell ref="C413:H413"/>
    <mergeCell ref="C419:H419"/>
    <mergeCell ref="C420:H420"/>
    <mergeCell ref="C422:H422"/>
    <mergeCell ref="B485:I485"/>
    <mergeCell ref="C323:D323"/>
    <mergeCell ref="C358:H358"/>
    <mergeCell ref="C324:H324"/>
    <mergeCell ref="C326:H326"/>
    <mergeCell ref="C338:H338"/>
    <mergeCell ref="C339:H339"/>
    <mergeCell ref="C342:H342"/>
    <mergeCell ref="C343:H343"/>
    <mergeCell ref="C352:H352"/>
    <mergeCell ref="C354:H354"/>
    <mergeCell ref="C440:H440"/>
    <mergeCell ref="C359:H359"/>
    <mergeCell ref="C368:H368"/>
    <mergeCell ref="C376:H376"/>
    <mergeCell ref="C377:H377"/>
  </mergeCells>
  <pageMargins left="0.27559055118110237" right="0.27559055118110237" top="0.27559055118110237" bottom="0.27559055118110237" header="0" footer="0"/>
  <pageSetup scale="62" fitToWidth="0" fitToHeight="0" orientation="portrait" r:id="rId1"/>
  <rowBreaks count="4" manualBreakCount="4">
    <brk id="204" min="1" max="9" man="1"/>
    <brk id="273" min="1" max="9" man="1"/>
    <brk id="304" min="1" max="9" man="1"/>
    <brk id="457" min="1" max="9" man="1"/>
  </rowBreaks>
  <drawing r:id="rId2"/>
  <legacyDrawing r:id="rId3"/>
  <oleObjects>
    <mc:AlternateContent xmlns:mc="http://schemas.openxmlformats.org/markup-compatibility/2006">
      <mc:Choice Requires="x14">
        <oleObject shapeId="1026" r:id="rId4">
          <objectPr defaultSize="0" autoPict="0" r:id="rId5">
            <anchor moveWithCells="1" sizeWithCells="1">
              <from>
                <xdr:col>2</xdr:col>
                <xdr:colOff>104775</xdr:colOff>
                <xdr:row>1</xdr:row>
                <xdr:rowOff>85725</xdr:rowOff>
              </from>
              <to>
                <xdr:col>2</xdr:col>
                <xdr:colOff>990600</xdr:colOff>
                <xdr:row>7</xdr:row>
                <xdr:rowOff>57150</xdr:rowOff>
              </to>
            </anchor>
          </objectPr>
        </oleObject>
      </mc:Choice>
      <mc:Fallback>
        <oleObject shapeId="1026" r:id="rId4"/>
      </mc:Fallback>
    </mc:AlternateContent>
  </oleObjec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59999389629810485"/>
    <outlinePr summaryBelow="0"/>
    <pageSetUpPr fitToPage="1"/>
  </sheetPr>
  <dimension ref="B1:F53"/>
  <sheetViews>
    <sheetView view="pageBreakPreview" zoomScale="60" zoomScaleNormal="100" workbookViewId="0">
      <selection activeCell="B2" sqref="B2:E12"/>
    </sheetView>
  </sheetViews>
  <sheetFormatPr defaultRowHeight="15"/>
  <cols>
    <col min="1" max="1" width="3.5703125" customWidth="1"/>
    <col min="2" max="2" width="16.7109375" customWidth="1"/>
    <col min="3" max="3" width="49" customWidth="1"/>
    <col min="4" max="4" width="18" customWidth="1"/>
    <col min="5" max="5" width="19.7109375" customWidth="1"/>
  </cols>
  <sheetData>
    <row r="1" spans="2:6" ht="15.75" thickBot="1"/>
    <row r="2" spans="2:6" ht="15" customHeight="1">
      <c r="B2" s="603" t="s">
        <v>0</v>
      </c>
      <c r="C2" s="658"/>
      <c r="D2" s="658"/>
      <c r="E2" s="659"/>
    </row>
    <row r="3" spans="2:6">
      <c r="B3" s="660"/>
      <c r="C3" s="661"/>
      <c r="D3" s="661"/>
      <c r="E3" s="662"/>
    </row>
    <row r="4" spans="2:6">
      <c r="B4" s="660"/>
      <c r="C4" s="661"/>
      <c r="D4" s="661"/>
      <c r="E4" s="662"/>
    </row>
    <row r="5" spans="2:6">
      <c r="B5" s="660"/>
      <c r="C5" s="661"/>
      <c r="D5" s="661"/>
      <c r="E5" s="662"/>
    </row>
    <row r="6" spans="2:6">
      <c r="B6" s="660"/>
      <c r="C6" s="661"/>
      <c r="D6" s="661"/>
      <c r="E6" s="662"/>
    </row>
    <row r="7" spans="2:6">
      <c r="B7" s="660"/>
      <c r="C7" s="661"/>
      <c r="D7" s="661"/>
      <c r="E7" s="662"/>
    </row>
    <row r="8" spans="2:6" ht="15.75" thickBot="1">
      <c r="B8" s="663"/>
      <c r="C8" s="664"/>
      <c r="D8" s="664"/>
      <c r="E8" s="665"/>
    </row>
    <row r="9" spans="2:6" ht="15.75" thickBot="1">
      <c r="B9" s="11"/>
      <c r="C9" s="11"/>
      <c r="D9" s="11"/>
      <c r="E9" s="11"/>
    </row>
    <row r="10" spans="2:6">
      <c r="B10" s="1" t="s">
        <v>525</v>
      </c>
      <c r="C10" s="14"/>
      <c r="D10" s="14"/>
      <c r="E10" s="32"/>
    </row>
    <row r="11" spans="2:6">
      <c r="B11" s="4" t="s">
        <v>488</v>
      </c>
      <c r="C11" s="19"/>
      <c r="D11" s="19"/>
      <c r="E11" s="33"/>
      <c r="F11" s="31"/>
    </row>
    <row r="12" spans="2:6" ht="15.75" thickBot="1">
      <c r="B12" s="7" t="s">
        <v>489</v>
      </c>
      <c r="C12" s="24"/>
      <c r="D12" s="24"/>
      <c r="E12" s="34"/>
      <c r="F12" s="31"/>
    </row>
    <row r="13" spans="2:6" ht="15.75" thickBot="1">
      <c r="B13" s="19"/>
      <c r="C13" s="19"/>
      <c r="D13" s="19"/>
      <c r="E13" s="19"/>
      <c r="F13" s="31"/>
    </row>
    <row r="14" spans="2:6" ht="16.5" thickBot="1">
      <c r="B14" s="669" t="s">
        <v>830</v>
      </c>
      <c r="C14" s="670"/>
      <c r="D14" s="670"/>
      <c r="E14" s="671"/>
      <c r="F14" s="31"/>
    </row>
    <row r="15" spans="2:6">
      <c r="B15" s="77" t="s">
        <v>7</v>
      </c>
      <c r="C15" s="77"/>
      <c r="D15" s="77"/>
      <c r="E15" s="77"/>
      <c r="F15" s="77"/>
    </row>
    <row r="16" spans="2:6">
      <c r="B16" s="77" t="s">
        <v>8</v>
      </c>
      <c r="C16" s="77"/>
      <c r="D16" s="77"/>
      <c r="E16" s="77"/>
      <c r="F16" s="77"/>
    </row>
    <row r="17" spans="2:6">
      <c r="B17" s="45" t="s">
        <v>831</v>
      </c>
      <c r="C17" s="46" t="s">
        <v>832</v>
      </c>
      <c r="D17" s="46" t="s">
        <v>833</v>
      </c>
      <c r="E17" s="46" t="s">
        <v>834</v>
      </c>
      <c r="F17" s="47"/>
    </row>
    <row r="18" spans="2:6">
      <c r="B18" s="48" t="s">
        <v>835</v>
      </c>
      <c r="C18" s="751" t="s">
        <v>836</v>
      </c>
      <c r="D18" s="751"/>
      <c r="E18" s="751"/>
      <c r="F18" s="47"/>
    </row>
    <row r="19" spans="2:6">
      <c r="B19" s="49" t="s">
        <v>837</v>
      </c>
      <c r="C19" s="50" t="s">
        <v>838</v>
      </c>
      <c r="D19" s="51">
        <v>0</v>
      </c>
      <c r="E19" s="51">
        <v>0</v>
      </c>
      <c r="F19" s="47"/>
    </row>
    <row r="20" spans="2:6">
      <c r="B20" s="49" t="s">
        <v>839</v>
      </c>
      <c r="C20" s="52" t="s">
        <v>840</v>
      </c>
      <c r="D20" s="53">
        <v>1.5</v>
      </c>
      <c r="E20" s="53">
        <v>1.5</v>
      </c>
      <c r="F20" s="47"/>
    </row>
    <row r="21" spans="2:6">
      <c r="B21" s="49" t="s">
        <v>841</v>
      </c>
      <c r="C21" s="52" t="s">
        <v>842</v>
      </c>
      <c r="D21" s="53">
        <v>1</v>
      </c>
      <c r="E21" s="53">
        <v>1</v>
      </c>
      <c r="F21" s="47"/>
    </row>
    <row r="22" spans="2:6">
      <c r="B22" s="49" t="s">
        <v>843</v>
      </c>
      <c r="C22" s="52" t="s">
        <v>844</v>
      </c>
      <c r="D22" s="53">
        <v>0.2</v>
      </c>
      <c r="E22" s="53">
        <v>0.2</v>
      </c>
      <c r="F22" s="47"/>
    </row>
    <row r="23" spans="2:6">
      <c r="B23" s="49" t="s">
        <v>845</v>
      </c>
      <c r="C23" s="52" t="s">
        <v>846</v>
      </c>
      <c r="D23" s="53">
        <v>0.6</v>
      </c>
      <c r="E23" s="53">
        <v>0.6</v>
      </c>
      <c r="F23" s="47"/>
    </row>
    <row r="24" spans="2:6">
      <c r="B24" s="49" t="s">
        <v>847</v>
      </c>
      <c r="C24" s="52" t="s">
        <v>848</v>
      </c>
      <c r="D24" s="53">
        <v>2.5</v>
      </c>
      <c r="E24" s="53">
        <v>2.5</v>
      </c>
      <c r="F24" s="47"/>
    </row>
    <row r="25" spans="2:6">
      <c r="B25" s="49" t="s">
        <v>849</v>
      </c>
      <c r="C25" s="52" t="s">
        <v>850</v>
      </c>
      <c r="D25" s="53">
        <v>3</v>
      </c>
      <c r="E25" s="53">
        <v>3</v>
      </c>
      <c r="F25" s="47"/>
    </row>
    <row r="26" spans="2:6">
      <c r="B26" s="49" t="s">
        <v>851</v>
      </c>
      <c r="C26" s="52" t="s">
        <v>852</v>
      </c>
      <c r="D26" s="53">
        <v>8</v>
      </c>
      <c r="E26" s="53">
        <v>8</v>
      </c>
      <c r="F26" s="47"/>
    </row>
    <row r="27" spans="2:6">
      <c r="B27" s="49" t="s">
        <v>853</v>
      </c>
      <c r="C27" s="52" t="s">
        <v>854</v>
      </c>
      <c r="D27" s="53">
        <v>1</v>
      </c>
      <c r="E27" s="53">
        <v>1</v>
      </c>
      <c r="F27" s="47"/>
    </row>
    <row r="28" spans="2:6">
      <c r="B28" s="54"/>
      <c r="C28" s="55" t="s">
        <v>855</v>
      </c>
      <c r="D28" s="56">
        <f>SUM(D19:D27)</f>
        <v>17.8</v>
      </c>
      <c r="E28" s="56">
        <f>SUM(E19:E27)</f>
        <v>17.8</v>
      </c>
      <c r="F28" s="47"/>
    </row>
    <row r="29" spans="2:6">
      <c r="B29" s="48" t="s">
        <v>856</v>
      </c>
      <c r="C29" s="751" t="s">
        <v>857</v>
      </c>
      <c r="D29" s="751"/>
      <c r="E29" s="751"/>
      <c r="F29" s="47"/>
    </row>
    <row r="30" spans="2:6">
      <c r="B30" s="49" t="s">
        <v>858</v>
      </c>
      <c r="C30" s="50" t="s">
        <v>859</v>
      </c>
      <c r="D30" s="51">
        <v>17.95</v>
      </c>
      <c r="E30" s="51">
        <v>0</v>
      </c>
      <c r="F30" s="47"/>
    </row>
    <row r="31" spans="2:6">
      <c r="B31" s="49" t="s">
        <v>860</v>
      </c>
      <c r="C31" s="52" t="s">
        <v>861</v>
      </c>
      <c r="D31" s="53">
        <v>4.32</v>
      </c>
      <c r="E31" s="53">
        <v>0</v>
      </c>
      <c r="F31" s="47"/>
    </row>
    <row r="32" spans="2:6">
      <c r="B32" s="49" t="s">
        <v>862</v>
      </c>
      <c r="C32" s="52" t="s">
        <v>863</v>
      </c>
      <c r="D32" s="53">
        <v>0.92</v>
      </c>
      <c r="E32" s="53">
        <v>0.69</v>
      </c>
      <c r="F32" s="47"/>
    </row>
    <row r="33" spans="2:6">
      <c r="B33" s="49" t="s">
        <v>864</v>
      </c>
      <c r="C33" s="52" t="s">
        <v>865</v>
      </c>
      <c r="D33" s="53">
        <v>11.05</v>
      </c>
      <c r="E33" s="53">
        <v>8.33</v>
      </c>
      <c r="F33" s="47"/>
    </row>
    <row r="34" spans="2:6">
      <c r="B34" s="49" t="s">
        <v>866</v>
      </c>
      <c r="C34" s="52" t="s">
        <v>867</v>
      </c>
      <c r="D34" s="53">
        <v>0.08</v>
      </c>
      <c r="E34" s="53">
        <v>0.06</v>
      </c>
      <c r="F34" s="47"/>
    </row>
    <row r="35" spans="2:6">
      <c r="B35" s="49" t="s">
        <v>868</v>
      </c>
      <c r="C35" s="52" t="s">
        <v>869</v>
      </c>
      <c r="D35" s="53">
        <v>0.74</v>
      </c>
      <c r="E35" s="53">
        <v>0.56000000000000005</v>
      </c>
      <c r="F35" s="47"/>
    </row>
    <row r="36" spans="2:6">
      <c r="B36" s="49" t="s">
        <v>870</v>
      </c>
      <c r="C36" s="52" t="s">
        <v>871</v>
      </c>
      <c r="D36" s="53">
        <v>1.48</v>
      </c>
      <c r="E36" s="53">
        <v>0</v>
      </c>
      <c r="F36" s="47"/>
    </row>
    <row r="37" spans="2:6">
      <c r="B37" s="49" t="s">
        <v>872</v>
      </c>
      <c r="C37" s="52" t="s">
        <v>873</v>
      </c>
      <c r="D37" s="53">
        <v>0.12</v>
      </c>
      <c r="E37" s="53">
        <v>0.09</v>
      </c>
      <c r="F37" s="47"/>
    </row>
    <row r="38" spans="2:6">
      <c r="B38" s="49" t="s">
        <v>874</v>
      </c>
      <c r="C38" s="52" t="s">
        <v>875</v>
      </c>
      <c r="D38" s="53">
        <v>11.91</v>
      </c>
      <c r="E38" s="53">
        <v>8.98</v>
      </c>
      <c r="F38" s="47"/>
    </row>
    <row r="39" spans="2:6">
      <c r="B39" s="49" t="s">
        <v>876</v>
      </c>
      <c r="C39" s="52" t="s">
        <v>877</v>
      </c>
      <c r="D39" s="53">
        <v>0.03</v>
      </c>
      <c r="E39" s="53">
        <v>0.02</v>
      </c>
      <c r="F39" s="47"/>
    </row>
    <row r="40" spans="2:6">
      <c r="B40" s="54"/>
      <c r="C40" s="57" t="s">
        <v>855</v>
      </c>
      <c r="D40" s="58">
        <f>SUM(D30:D39)</f>
        <v>48.599999999999994</v>
      </c>
      <c r="E40" s="58">
        <f>SUM(E30:E39)</f>
        <v>18.73</v>
      </c>
      <c r="F40" s="47"/>
    </row>
    <row r="41" spans="2:6">
      <c r="B41" s="48" t="s">
        <v>878</v>
      </c>
      <c r="C41" s="751" t="s">
        <v>879</v>
      </c>
      <c r="D41" s="751"/>
      <c r="E41" s="751"/>
      <c r="F41" s="47"/>
    </row>
    <row r="42" spans="2:6">
      <c r="B42" s="49" t="s">
        <v>880</v>
      </c>
      <c r="C42" s="50" t="s">
        <v>881</v>
      </c>
      <c r="D42" s="51">
        <v>7.46</v>
      </c>
      <c r="E42" s="51">
        <v>5.63</v>
      </c>
      <c r="F42" s="47"/>
    </row>
    <row r="43" spans="2:6">
      <c r="B43" s="49" t="s">
        <v>882</v>
      </c>
      <c r="C43" s="52" t="s">
        <v>883</v>
      </c>
      <c r="D43" s="53">
        <v>0.18</v>
      </c>
      <c r="E43" s="53">
        <v>0.13</v>
      </c>
      <c r="F43" s="47"/>
    </row>
    <row r="44" spans="2:6">
      <c r="B44" s="49" t="s">
        <v>884</v>
      </c>
      <c r="C44" s="52" t="s">
        <v>885</v>
      </c>
      <c r="D44" s="53">
        <v>2.5099999999999998</v>
      </c>
      <c r="E44" s="53">
        <v>1.89</v>
      </c>
      <c r="F44" s="47"/>
    </row>
    <row r="45" spans="2:6">
      <c r="B45" s="49" t="s">
        <v>886</v>
      </c>
      <c r="C45" s="52" t="s">
        <v>887</v>
      </c>
      <c r="D45" s="53">
        <v>5.04</v>
      </c>
      <c r="E45" s="53">
        <v>3.8</v>
      </c>
      <c r="F45" s="47"/>
    </row>
    <row r="46" spans="2:6">
      <c r="B46" s="49" t="s">
        <v>888</v>
      </c>
      <c r="C46" s="52" t="s">
        <v>889</v>
      </c>
      <c r="D46" s="53">
        <v>0.63</v>
      </c>
      <c r="E46" s="53">
        <v>0.47</v>
      </c>
      <c r="F46" s="47"/>
    </row>
    <row r="47" spans="2:6">
      <c r="B47" s="54"/>
      <c r="C47" s="57" t="s">
        <v>855</v>
      </c>
      <c r="D47" s="58">
        <f>SUM(D42:D46)</f>
        <v>15.819999999999999</v>
      </c>
      <c r="E47" s="58">
        <f>SUM(E42:E46)</f>
        <v>11.92</v>
      </c>
      <c r="F47" s="47"/>
    </row>
    <row r="48" spans="2:6">
      <c r="B48" s="48" t="s">
        <v>890</v>
      </c>
      <c r="C48" s="751" t="s">
        <v>891</v>
      </c>
      <c r="D48" s="751"/>
      <c r="E48" s="751"/>
      <c r="F48" s="47"/>
    </row>
    <row r="49" spans="2:6">
      <c r="B49" s="49" t="s">
        <v>892</v>
      </c>
      <c r="C49" s="50" t="s">
        <v>893</v>
      </c>
      <c r="D49" s="51">
        <f>TRUNC(D28*D40/100,3)</f>
        <v>8.65</v>
      </c>
      <c r="E49" s="51">
        <v>3.33</v>
      </c>
      <c r="F49" s="47"/>
    </row>
    <row r="50" spans="2:6" ht="22.5">
      <c r="B50" s="49" t="s">
        <v>894</v>
      </c>
      <c r="C50" s="52" t="s">
        <v>895</v>
      </c>
      <c r="D50" s="53">
        <v>0.63</v>
      </c>
      <c r="E50" s="53">
        <v>0.47</v>
      </c>
      <c r="F50" s="47"/>
    </row>
    <row r="51" spans="2:6">
      <c r="B51" s="54"/>
      <c r="C51" s="57" t="s">
        <v>855</v>
      </c>
      <c r="D51" s="58">
        <f>SUM(D49:D50)</f>
        <v>9.2800000000000011</v>
      </c>
      <c r="E51" s="58">
        <f>SUM(E49:E50)</f>
        <v>3.8</v>
      </c>
      <c r="F51" s="47"/>
    </row>
    <row r="53" spans="2:6">
      <c r="C53" s="59" t="s">
        <v>855</v>
      </c>
      <c r="D53" s="60">
        <f>D28+D40+D47+D51</f>
        <v>91.499999999999986</v>
      </c>
      <c r="E53" s="61">
        <f>E28+E40+E47+E51</f>
        <v>52.25</v>
      </c>
    </row>
  </sheetData>
  <mergeCells count="6">
    <mergeCell ref="C48:E48"/>
    <mergeCell ref="B2:E8"/>
    <mergeCell ref="B14:E14"/>
    <mergeCell ref="C18:E18"/>
    <mergeCell ref="C29:E29"/>
    <mergeCell ref="C41:E41"/>
  </mergeCells>
  <pageMargins left="0.27559055118110237" right="0.27559055118110237" top="0.27559055118110237" bottom="0.27559055118110237" header="0" footer="0"/>
  <pageSetup paperSize="9" scale="95" fitToHeight="100" orientation="portrait" r:id="rId1"/>
  <drawing r:id="rId2"/>
  <legacyDrawing r:id="rId3"/>
  <oleObjects>
    <mc:AlternateContent xmlns:mc="http://schemas.openxmlformats.org/markup-compatibility/2006">
      <mc:Choice Requires="x14">
        <oleObject shapeId="19458" r:id="rId4">
          <objectPr defaultSize="0" autoPict="0" r:id="rId5">
            <anchor moveWithCells="1" sizeWithCells="1">
              <from>
                <xdr:col>1</xdr:col>
                <xdr:colOff>323850</xdr:colOff>
                <xdr:row>1</xdr:row>
                <xdr:rowOff>180975</xdr:rowOff>
              </from>
              <to>
                <xdr:col>2</xdr:col>
                <xdr:colOff>95250</xdr:colOff>
                <xdr:row>7</xdr:row>
                <xdr:rowOff>9525</xdr:rowOff>
              </to>
            </anchor>
          </objectPr>
        </oleObject>
      </mc:Choice>
      <mc:Fallback>
        <oleObject shapeId="19458" r:id="rId4"/>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D40"/>
  <sheetViews>
    <sheetView view="pageBreakPreview" zoomScale="60" zoomScaleNormal="100" workbookViewId="0">
      <selection activeCell="A26" sqref="A26:A28"/>
    </sheetView>
  </sheetViews>
  <sheetFormatPr defaultRowHeight="15"/>
  <cols>
    <col min="1" max="1" width="57.85546875" customWidth="1"/>
    <col min="2" max="2" width="28.140625" customWidth="1"/>
    <col min="3" max="3" width="22.28515625" customWidth="1"/>
    <col min="4" max="4" width="21.28515625" customWidth="1"/>
  </cols>
  <sheetData>
    <row r="1" spans="1:4" ht="15.75" thickBot="1"/>
    <row r="2" spans="1:4">
      <c r="A2" s="603" t="s">
        <v>0</v>
      </c>
      <c r="B2" s="658"/>
      <c r="C2" s="658"/>
      <c r="D2" s="659"/>
    </row>
    <row r="3" spans="1:4">
      <c r="A3" s="660"/>
      <c r="B3" s="661"/>
      <c r="C3" s="661"/>
      <c r="D3" s="662"/>
    </row>
    <row r="4" spans="1:4">
      <c r="A4" s="660"/>
      <c r="B4" s="661"/>
      <c r="C4" s="661"/>
      <c r="D4" s="662"/>
    </row>
    <row r="5" spans="1:4">
      <c r="A5" s="660"/>
      <c r="B5" s="661"/>
      <c r="C5" s="661"/>
      <c r="D5" s="662"/>
    </row>
    <row r="6" spans="1:4">
      <c r="A6" s="660"/>
      <c r="B6" s="661"/>
      <c r="C6" s="661"/>
      <c r="D6" s="662"/>
    </row>
    <row r="7" spans="1:4">
      <c r="A7" s="660"/>
      <c r="B7" s="661"/>
      <c r="C7" s="661"/>
      <c r="D7" s="662"/>
    </row>
    <row r="8" spans="1:4" ht="15.75" thickBot="1">
      <c r="A8" s="663"/>
      <c r="B8" s="664"/>
      <c r="C8" s="664"/>
      <c r="D8" s="665"/>
    </row>
    <row r="9" spans="1:4" ht="15.75" thickBot="1">
      <c r="A9" s="11"/>
      <c r="B9" s="11"/>
      <c r="C9" s="11"/>
      <c r="D9" s="11"/>
    </row>
    <row r="10" spans="1:4">
      <c r="A10" s="1" t="s">
        <v>525</v>
      </c>
      <c r="B10" s="14"/>
      <c r="C10" s="14"/>
      <c r="D10" s="32"/>
    </row>
    <row r="11" spans="1:4">
      <c r="A11" s="4" t="s">
        <v>488</v>
      </c>
      <c r="B11" s="19"/>
      <c r="C11" s="19"/>
      <c r="D11" s="33"/>
    </row>
    <row r="12" spans="1:4" ht="15.75" thickBot="1">
      <c r="A12" s="7" t="s">
        <v>489</v>
      </c>
      <c r="B12" s="24"/>
      <c r="C12" s="24"/>
      <c r="D12" s="34"/>
    </row>
    <row r="14" spans="1:4" ht="15" customHeight="1">
      <c r="A14" s="769" t="s">
        <v>2129</v>
      </c>
      <c r="B14" s="351" t="s">
        <v>1214</v>
      </c>
      <c r="C14" s="351" t="s">
        <v>1214</v>
      </c>
      <c r="D14" s="351" t="s">
        <v>1214</v>
      </c>
    </row>
    <row r="15" spans="1:4" ht="15" customHeight="1">
      <c r="A15" s="770"/>
      <c r="B15" s="352" t="s">
        <v>1216</v>
      </c>
      <c r="C15" s="352" t="s">
        <v>1216</v>
      </c>
      <c r="D15" s="352" t="s">
        <v>1216</v>
      </c>
    </row>
    <row r="16" spans="1:4" ht="21.75" customHeight="1" thickBot="1">
      <c r="A16" s="771"/>
      <c r="B16" s="356" t="s">
        <v>1217</v>
      </c>
      <c r="C16" s="356" t="s">
        <v>1217</v>
      </c>
      <c r="D16" s="356" t="s">
        <v>1217</v>
      </c>
    </row>
    <row r="17" spans="1:4">
      <c r="A17" s="755" t="s">
        <v>1215</v>
      </c>
      <c r="B17" s="357" t="s">
        <v>1213</v>
      </c>
      <c r="C17" s="357" t="s">
        <v>1219</v>
      </c>
      <c r="D17" s="357" t="s">
        <v>1254</v>
      </c>
    </row>
    <row r="18" spans="1:4">
      <c r="A18" s="756"/>
      <c r="B18" s="353" t="s">
        <v>1218</v>
      </c>
      <c r="C18" s="353" t="s">
        <v>1220</v>
      </c>
      <c r="D18" s="353"/>
    </row>
    <row r="19" spans="1:4" ht="15.75" thickBot="1">
      <c r="A19" s="757"/>
      <c r="B19" s="354">
        <v>104.07</v>
      </c>
      <c r="C19" s="354">
        <v>119.11</v>
      </c>
      <c r="D19" s="355"/>
    </row>
    <row r="20" spans="1:4">
      <c r="A20" s="755" t="s">
        <v>1248</v>
      </c>
      <c r="B20" s="357" t="s">
        <v>1221</v>
      </c>
      <c r="C20" s="357" t="s">
        <v>1223</v>
      </c>
      <c r="D20" s="357" t="s">
        <v>1254</v>
      </c>
    </row>
    <row r="21" spans="1:4">
      <c r="A21" s="756"/>
      <c r="B21" s="353" t="s">
        <v>1222</v>
      </c>
      <c r="C21" s="353" t="s">
        <v>1224</v>
      </c>
      <c r="D21" s="353"/>
    </row>
    <row r="22" spans="1:4" ht="15.75" thickBot="1">
      <c r="A22" s="757"/>
      <c r="B22" s="354">
        <v>3350</v>
      </c>
      <c r="C22" s="354">
        <v>3881</v>
      </c>
      <c r="D22" s="355"/>
    </row>
    <row r="23" spans="1:4">
      <c r="A23" s="755" t="s">
        <v>1249</v>
      </c>
      <c r="B23" s="357" t="s">
        <v>1221</v>
      </c>
      <c r="C23" s="357" t="s">
        <v>1223</v>
      </c>
      <c r="D23" s="357" t="s">
        <v>1254</v>
      </c>
    </row>
    <row r="24" spans="1:4">
      <c r="A24" s="756"/>
      <c r="B24" s="353" t="s">
        <v>1222</v>
      </c>
      <c r="C24" s="353" t="s">
        <v>1224</v>
      </c>
      <c r="D24" s="353"/>
    </row>
    <row r="25" spans="1:4" ht="15.75" thickBot="1">
      <c r="A25" s="757"/>
      <c r="B25" s="354">
        <v>3350</v>
      </c>
      <c r="C25" s="354">
        <v>3659</v>
      </c>
      <c r="D25" s="355"/>
    </row>
    <row r="26" spans="1:4">
      <c r="A26" s="752" t="s">
        <v>1227</v>
      </c>
      <c r="B26" s="357" t="s">
        <v>1225</v>
      </c>
      <c r="C26" s="357" t="s">
        <v>1254</v>
      </c>
      <c r="D26" s="357" t="s">
        <v>1254</v>
      </c>
    </row>
    <row r="27" spans="1:4">
      <c r="A27" s="753"/>
      <c r="B27" s="353" t="s">
        <v>1226</v>
      </c>
      <c r="C27" s="353"/>
      <c r="D27" s="353"/>
    </row>
    <row r="28" spans="1:4" ht="15.75" thickBot="1">
      <c r="A28" s="754"/>
      <c r="B28" s="354">
        <v>350</v>
      </c>
      <c r="C28" s="354"/>
      <c r="D28" s="355"/>
    </row>
    <row r="29" spans="1:4">
      <c r="A29" s="752" t="s">
        <v>1241</v>
      </c>
      <c r="B29" s="357" t="s">
        <v>1239</v>
      </c>
      <c r="C29" s="357" t="s">
        <v>1244</v>
      </c>
      <c r="D29" s="357" t="s">
        <v>1246</v>
      </c>
    </row>
    <row r="30" spans="1:4">
      <c r="A30" s="753"/>
      <c r="B30" s="353" t="s">
        <v>1240</v>
      </c>
      <c r="C30" s="353" t="s">
        <v>1245</v>
      </c>
      <c r="D30" s="353" t="s">
        <v>1247</v>
      </c>
    </row>
    <row r="31" spans="1:4" ht="15.75" thickBot="1">
      <c r="A31" s="754"/>
      <c r="B31" s="354">
        <v>350</v>
      </c>
      <c r="C31" s="354">
        <v>400</v>
      </c>
      <c r="D31" s="354">
        <v>350</v>
      </c>
    </row>
    <row r="32" spans="1:4">
      <c r="A32" s="752" t="s">
        <v>1242</v>
      </c>
      <c r="B32" s="357" t="s">
        <v>1239</v>
      </c>
      <c r="C32" s="357" t="s">
        <v>1244</v>
      </c>
      <c r="D32" s="357" t="s">
        <v>1246</v>
      </c>
    </row>
    <row r="33" spans="1:4">
      <c r="A33" s="753"/>
      <c r="B33" s="353" t="s">
        <v>1240</v>
      </c>
      <c r="C33" s="353" t="s">
        <v>1245</v>
      </c>
      <c r="D33" s="353" t="s">
        <v>1247</v>
      </c>
    </row>
    <row r="34" spans="1:4" ht="15.75" thickBot="1">
      <c r="A34" s="754"/>
      <c r="B34" s="354">
        <v>380</v>
      </c>
      <c r="C34" s="354">
        <v>480</v>
      </c>
      <c r="D34" s="354">
        <v>350</v>
      </c>
    </row>
    <row r="35" spans="1:4">
      <c r="A35" s="752" t="s">
        <v>1243</v>
      </c>
      <c r="B35" s="357" t="s">
        <v>1239</v>
      </c>
      <c r="C35" s="357" t="s">
        <v>1244</v>
      </c>
      <c r="D35" s="357" t="s">
        <v>1246</v>
      </c>
    </row>
    <row r="36" spans="1:4">
      <c r="A36" s="753"/>
      <c r="B36" s="353" t="s">
        <v>1240</v>
      </c>
      <c r="C36" s="353" t="s">
        <v>1245</v>
      </c>
      <c r="D36" s="353" t="s">
        <v>1247</v>
      </c>
    </row>
    <row r="37" spans="1:4" ht="15.75" thickBot="1">
      <c r="A37" s="754"/>
      <c r="B37" s="354">
        <v>750</v>
      </c>
      <c r="C37" s="354">
        <v>800</v>
      </c>
      <c r="D37" s="354">
        <v>350</v>
      </c>
    </row>
    <row r="38" spans="1:4">
      <c r="A38" s="752" t="s">
        <v>1279</v>
      </c>
      <c r="B38" s="357" t="s">
        <v>1225</v>
      </c>
      <c r="C38" s="357"/>
      <c r="D38" s="357"/>
    </row>
    <row r="39" spans="1:4">
      <c r="A39" s="753"/>
      <c r="B39" s="353" t="s">
        <v>1226</v>
      </c>
      <c r="C39" s="353"/>
      <c r="D39" s="353"/>
    </row>
    <row r="40" spans="1:4" ht="15.75" thickBot="1">
      <c r="A40" s="754"/>
      <c r="B40" s="354">
        <v>2800</v>
      </c>
      <c r="C40" s="354"/>
      <c r="D40" s="354"/>
    </row>
  </sheetData>
  <mergeCells count="10">
    <mergeCell ref="A2:D8"/>
    <mergeCell ref="A38:A40"/>
    <mergeCell ref="A32:A34"/>
    <mergeCell ref="A35:A37"/>
    <mergeCell ref="A23:A25"/>
    <mergeCell ref="A14:A16"/>
    <mergeCell ref="A17:A19"/>
    <mergeCell ref="A20:A22"/>
    <mergeCell ref="A26:A28"/>
    <mergeCell ref="A29:A31"/>
  </mergeCells>
  <pageMargins left="0.511811024" right="0.511811024" top="0.78740157499999996" bottom="0.78740157499999996" header="0.31496062000000002" footer="0.31496062000000002"/>
  <pageSetup paperSize="9" scale="71" orientation="landscape" r:id="rId1"/>
  <drawing r:id="rId2"/>
  <legacyDrawing r:id="rId3"/>
  <oleObjects>
    <mc:AlternateContent xmlns:mc="http://schemas.openxmlformats.org/markup-compatibility/2006">
      <mc:Choice Requires="x14">
        <oleObject shapeId="20482" r:id="rId4">
          <objectPr defaultSize="0" autoPict="0" r:id="rId5">
            <anchor moveWithCells="1" sizeWithCells="1">
              <from>
                <xdr:col>0</xdr:col>
                <xdr:colOff>323850</xdr:colOff>
                <xdr:row>1</xdr:row>
                <xdr:rowOff>180975</xdr:rowOff>
              </from>
              <to>
                <xdr:col>0</xdr:col>
                <xdr:colOff>1543050</xdr:colOff>
                <xdr:row>7</xdr:row>
                <xdr:rowOff>9525</xdr:rowOff>
              </to>
            </anchor>
          </objectPr>
        </oleObject>
      </mc:Choice>
      <mc:Fallback>
        <oleObject shapeId="20482"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outlinePr summaryBelow="0"/>
  </sheetPr>
  <dimension ref="B1:K106"/>
  <sheetViews>
    <sheetView view="pageBreakPreview" topLeftCell="A64" zoomScaleNormal="115" zoomScaleSheetLayoutView="100" workbookViewId="0">
      <selection activeCell="F22" sqref="F22"/>
    </sheetView>
  </sheetViews>
  <sheetFormatPr defaultRowHeight="12.75"/>
  <cols>
    <col min="1" max="1" width="3.140625" style="10" customWidth="1"/>
    <col min="2" max="2" width="9.28515625" style="10" customWidth="1"/>
    <col min="3" max="3" width="34.7109375" style="10" customWidth="1"/>
    <col min="4" max="4" width="13.7109375" style="10" customWidth="1"/>
    <col min="5" max="8" width="11.85546875" style="10" customWidth="1"/>
    <col min="9" max="9" width="11.7109375" style="10" customWidth="1"/>
    <col min="10" max="10" width="11.85546875" style="10" customWidth="1"/>
    <col min="11" max="11" width="13.28515625" style="10" customWidth="1"/>
    <col min="12" max="16384" width="9.140625" style="10"/>
  </cols>
  <sheetData>
    <row r="1" spans="2:11" ht="13.5" thickBot="1"/>
    <row r="2" spans="2:11">
      <c r="B2" s="603" t="s">
        <v>0</v>
      </c>
      <c r="C2" s="604"/>
      <c r="D2" s="604"/>
      <c r="E2" s="604"/>
      <c r="F2" s="604"/>
      <c r="G2" s="604"/>
      <c r="H2" s="604"/>
      <c r="I2" s="604"/>
      <c r="J2" s="604"/>
      <c r="K2" s="605"/>
    </row>
    <row r="3" spans="2:11">
      <c r="B3" s="606"/>
      <c r="C3" s="607"/>
      <c r="D3" s="607"/>
      <c r="E3" s="607"/>
      <c r="F3" s="607"/>
      <c r="G3" s="607"/>
      <c r="H3" s="607"/>
      <c r="I3" s="607"/>
      <c r="J3" s="607"/>
      <c r="K3" s="608"/>
    </row>
    <row r="4" spans="2:11">
      <c r="B4" s="606"/>
      <c r="C4" s="607"/>
      <c r="D4" s="607"/>
      <c r="E4" s="607"/>
      <c r="F4" s="607"/>
      <c r="G4" s="607"/>
      <c r="H4" s="607"/>
      <c r="I4" s="607"/>
      <c r="J4" s="607"/>
      <c r="K4" s="608"/>
    </row>
    <row r="5" spans="2:11">
      <c r="B5" s="606"/>
      <c r="C5" s="607"/>
      <c r="D5" s="607"/>
      <c r="E5" s="607"/>
      <c r="F5" s="607"/>
      <c r="G5" s="607"/>
      <c r="H5" s="607"/>
      <c r="I5" s="607"/>
      <c r="J5" s="607"/>
      <c r="K5" s="608"/>
    </row>
    <row r="6" spans="2:11">
      <c r="B6" s="606"/>
      <c r="C6" s="607"/>
      <c r="D6" s="607"/>
      <c r="E6" s="607"/>
      <c r="F6" s="607"/>
      <c r="G6" s="607"/>
      <c r="H6" s="607"/>
      <c r="I6" s="607"/>
      <c r="J6" s="607"/>
      <c r="K6" s="608"/>
    </row>
    <row r="7" spans="2:11">
      <c r="B7" s="606"/>
      <c r="C7" s="607"/>
      <c r="D7" s="607"/>
      <c r="E7" s="607"/>
      <c r="F7" s="607"/>
      <c r="G7" s="607"/>
      <c r="H7" s="607"/>
      <c r="I7" s="607"/>
      <c r="J7" s="607"/>
      <c r="K7" s="608"/>
    </row>
    <row r="8" spans="2:11" ht="13.5" thickBot="1">
      <c r="B8" s="609"/>
      <c r="C8" s="610"/>
      <c r="D8" s="610"/>
      <c r="E8" s="610"/>
      <c r="F8" s="610"/>
      <c r="G8" s="610"/>
      <c r="H8" s="610"/>
      <c r="I8" s="610"/>
      <c r="J8" s="610"/>
      <c r="K8" s="611"/>
    </row>
    <row r="9" spans="2:11" ht="13.5" thickBot="1">
      <c r="B9" s="11"/>
      <c r="C9" s="11"/>
      <c r="D9" s="12"/>
      <c r="E9" s="13"/>
      <c r="F9" s="6"/>
      <c r="G9" s="11"/>
      <c r="H9" s="11"/>
      <c r="I9" s="11"/>
      <c r="J9" s="29"/>
      <c r="K9" s="29"/>
    </row>
    <row r="10" spans="2:11">
      <c r="B10" s="1" t="s">
        <v>2123</v>
      </c>
      <c r="C10" s="14"/>
      <c r="D10" s="14"/>
      <c r="E10" s="2"/>
      <c r="F10" s="3"/>
      <c r="G10" s="15"/>
      <c r="H10" s="16"/>
      <c r="I10" s="3"/>
      <c r="J10" s="17"/>
      <c r="K10" s="18"/>
    </row>
    <row r="11" spans="2:11">
      <c r="B11" s="4" t="s">
        <v>488</v>
      </c>
      <c r="C11" s="19"/>
      <c r="D11" s="19"/>
      <c r="E11" s="182"/>
      <c r="F11" s="5"/>
      <c r="G11" s="20"/>
      <c r="H11" s="21"/>
      <c r="I11" s="5"/>
      <c r="J11" s="22"/>
      <c r="K11" s="23"/>
    </row>
    <row r="12" spans="2:11" ht="13.5" thickBot="1">
      <c r="B12" s="7" t="s">
        <v>489</v>
      </c>
      <c r="C12" s="24"/>
      <c r="D12" s="24"/>
      <c r="E12" s="8"/>
      <c r="F12" s="9"/>
      <c r="G12" s="25"/>
      <c r="H12" s="24"/>
      <c r="I12" s="9"/>
      <c r="J12" s="26"/>
      <c r="K12" s="27"/>
    </row>
    <row r="13" spans="2:11" ht="13.5" thickBot="1">
      <c r="B13" s="19"/>
      <c r="C13" s="19"/>
      <c r="D13" s="19"/>
      <c r="E13" s="182"/>
      <c r="F13" s="5"/>
      <c r="G13" s="20"/>
      <c r="H13" s="19"/>
      <c r="I13" s="5"/>
      <c r="J13" s="28"/>
      <c r="K13" s="28"/>
    </row>
    <row r="14" spans="2:11" ht="13.5" thickBot="1">
      <c r="B14" s="647" t="s">
        <v>490</v>
      </c>
      <c r="C14" s="648"/>
      <c r="D14" s="648"/>
      <c r="E14" s="648"/>
      <c r="F14" s="648"/>
      <c r="G14" s="648"/>
      <c r="H14" s="648"/>
      <c r="I14" s="648"/>
      <c r="J14" s="648"/>
      <c r="K14" s="649"/>
    </row>
    <row r="15" spans="2:11">
      <c r="B15" s="615" t="s">
        <v>1285</v>
      </c>
      <c r="C15" s="615"/>
      <c r="D15" s="615"/>
      <c r="E15" s="615"/>
      <c r="F15" s="615"/>
      <c r="G15" s="615"/>
      <c r="H15" s="615"/>
      <c r="I15" s="615"/>
      <c r="J15" s="22"/>
      <c r="K15" s="22"/>
    </row>
    <row r="16" spans="2:11">
      <c r="B16" s="615" t="s">
        <v>8</v>
      </c>
      <c r="C16" s="615"/>
      <c r="D16" s="615"/>
      <c r="E16" s="615"/>
      <c r="F16" s="615"/>
      <c r="G16" s="615"/>
      <c r="H16" s="615"/>
      <c r="I16" s="615"/>
      <c r="J16" s="22"/>
      <c r="K16" s="22"/>
    </row>
    <row r="17" spans="2:11" ht="17.100000000000001" customHeight="1">
      <c r="B17" s="627" t="s">
        <v>2125</v>
      </c>
      <c r="C17" s="628"/>
      <c r="D17" s="628"/>
      <c r="E17" s="628"/>
      <c r="F17" s="628"/>
      <c r="G17" s="628"/>
      <c r="H17" s="628"/>
      <c r="I17" s="628"/>
      <c r="J17" s="628"/>
      <c r="K17" s="629"/>
    </row>
    <row r="18" spans="2:11" ht="17.100000000000001" customHeight="1">
      <c r="B18" s="30" t="s">
        <v>491</v>
      </c>
      <c r="C18" s="30" t="s">
        <v>492</v>
      </c>
      <c r="D18" s="30" t="s">
        <v>493</v>
      </c>
      <c r="E18" s="30" t="s">
        <v>494</v>
      </c>
      <c r="F18" s="30" t="s">
        <v>495</v>
      </c>
      <c r="G18" s="30" t="s">
        <v>496</v>
      </c>
      <c r="H18" s="30" t="s">
        <v>497</v>
      </c>
      <c r="I18" s="30" t="s">
        <v>498</v>
      </c>
      <c r="J18" s="30" t="s">
        <v>499</v>
      </c>
      <c r="K18" s="30" t="s">
        <v>500</v>
      </c>
    </row>
    <row r="19" spans="2:11" ht="12" customHeight="1">
      <c r="B19" s="641" t="s">
        <v>535</v>
      </c>
      <c r="C19" s="643" t="s">
        <v>501</v>
      </c>
      <c r="D19" s="645">
        <f>ORCAMENTO!J22</f>
        <v>87052</v>
      </c>
      <c r="E19" s="217">
        <v>0.1666</v>
      </c>
      <c r="F19" s="217">
        <v>0.1666</v>
      </c>
      <c r="G19" s="217">
        <v>0.16669999999999999</v>
      </c>
      <c r="H19" s="217">
        <v>0.16669999999999999</v>
      </c>
      <c r="I19" s="217">
        <v>0.16669999999999999</v>
      </c>
      <c r="J19" s="217">
        <v>0.16669999999999999</v>
      </c>
      <c r="K19" s="217">
        <f t="shared" ref="K19:K64" si="0">SUM(E19:J19)</f>
        <v>0.99999999999999989</v>
      </c>
    </row>
    <row r="20" spans="2:11" ht="12.95" customHeight="1">
      <c r="B20" s="642"/>
      <c r="C20" s="644"/>
      <c r="D20" s="646"/>
      <c r="E20" s="218">
        <f>ROUND($D19*E19,3)</f>
        <v>14502.862999999999</v>
      </c>
      <c r="F20" s="218">
        <f t="shared" ref="F20:J20" si="1">ROUND($D19*F19,3)</f>
        <v>14502.862999999999</v>
      </c>
      <c r="G20" s="218">
        <f t="shared" si="1"/>
        <v>14511.567999999999</v>
      </c>
      <c r="H20" s="218">
        <f t="shared" si="1"/>
        <v>14511.567999999999</v>
      </c>
      <c r="I20" s="218">
        <f t="shared" si="1"/>
        <v>14511.567999999999</v>
      </c>
      <c r="J20" s="218">
        <f t="shared" si="1"/>
        <v>14511.567999999999</v>
      </c>
      <c r="K20" s="218">
        <f t="shared" si="0"/>
        <v>87051.997999999992</v>
      </c>
    </row>
    <row r="21" spans="2:11" ht="12" customHeight="1">
      <c r="B21" s="641" t="s">
        <v>538</v>
      </c>
      <c r="C21" s="643" t="s">
        <v>502</v>
      </c>
      <c r="D21" s="645">
        <f>ORCAMENTO!J24</f>
        <v>13381.779999999999</v>
      </c>
      <c r="E21" s="217">
        <v>1</v>
      </c>
      <c r="F21" s="217"/>
      <c r="G21" s="217"/>
      <c r="H21" s="217"/>
      <c r="I21" s="217"/>
      <c r="J21" s="217"/>
      <c r="K21" s="217">
        <f t="shared" si="0"/>
        <v>1</v>
      </c>
    </row>
    <row r="22" spans="2:11" ht="12.95" customHeight="1">
      <c r="B22" s="642"/>
      <c r="C22" s="644"/>
      <c r="D22" s="646"/>
      <c r="E22" s="218">
        <f>ROUND($D21*E21,2)</f>
        <v>13381.78</v>
      </c>
      <c r="F22" s="218"/>
      <c r="G22" s="218"/>
      <c r="H22" s="218"/>
      <c r="I22" s="218"/>
      <c r="J22" s="218"/>
      <c r="K22" s="218">
        <f t="shared" si="0"/>
        <v>13381.78</v>
      </c>
    </row>
    <row r="23" spans="2:11" ht="12" customHeight="1">
      <c r="B23" s="641" t="s">
        <v>539</v>
      </c>
      <c r="C23" s="643" t="s">
        <v>503</v>
      </c>
      <c r="D23" s="645">
        <f>ORCAMENTO!J31</f>
        <v>4597.49</v>
      </c>
      <c r="E23" s="217">
        <v>0.3</v>
      </c>
      <c r="F23" s="217">
        <v>0.7</v>
      </c>
      <c r="G23" s="217"/>
      <c r="H23" s="217"/>
      <c r="I23" s="217"/>
      <c r="J23" s="217"/>
      <c r="K23" s="217">
        <f t="shared" si="0"/>
        <v>1</v>
      </c>
    </row>
    <row r="24" spans="2:11" ht="12.95" customHeight="1">
      <c r="B24" s="642"/>
      <c r="C24" s="644"/>
      <c r="D24" s="646"/>
      <c r="E24" s="218">
        <f>ROUND($D23*E23,2)</f>
        <v>1379.25</v>
      </c>
      <c r="F24" s="218">
        <f>ROUND($D23*F23,2)</f>
        <v>3218.24</v>
      </c>
      <c r="G24" s="218"/>
      <c r="H24" s="218"/>
      <c r="I24" s="218"/>
      <c r="J24" s="218"/>
      <c r="K24" s="218">
        <f t="shared" si="0"/>
        <v>4597.49</v>
      </c>
    </row>
    <row r="25" spans="2:11" ht="12" customHeight="1">
      <c r="B25" s="641" t="s">
        <v>1298</v>
      </c>
      <c r="C25" s="643" t="s">
        <v>504</v>
      </c>
      <c r="D25" s="645">
        <f>ORCAMENTO!J37</f>
        <v>26884.270000000004</v>
      </c>
      <c r="E25" s="217"/>
      <c r="F25" s="217">
        <v>1</v>
      </c>
      <c r="G25" s="217"/>
      <c r="H25" s="217"/>
      <c r="I25" s="217"/>
      <c r="J25" s="217"/>
      <c r="K25" s="217">
        <f t="shared" si="0"/>
        <v>1</v>
      </c>
    </row>
    <row r="26" spans="2:11" ht="12.95" customHeight="1">
      <c r="B26" s="642"/>
      <c r="C26" s="644"/>
      <c r="D26" s="646"/>
      <c r="E26" s="218"/>
      <c r="F26" s="218">
        <f>ROUND($D25*F25,2)</f>
        <v>26884.27</v>
      </c>
      <c r="G26" s="218"/>
      <c r="H26" s="218"/>
      <c r="I26" s="218"/>
      <c r="J26" s="218"/>
      <c r="K26" s="218">
        <f t="shared" si="0"/>
        <v>26884.27</v>
      </c>
    </row>
    <row r="27" spans="2:11" ht="12" customHeight="1">
      <c r="B27" s="641" t="s">
        <v>1307</v>
      </c>
      <c r="C27" s="643" t="s">
        <v>505</v>
      </c>
      <c r="D27" s="645">
        <f>ORCAMENTO!J46</f>
        <v>682752</v>
      </c>
      <c r="E27" s="217"/>
      <c r="F27" s="217"/>
      <c r="G27" s="217">
        <v>1</v>
      </c>
      <c r="H27" s="217"/>
      <c r="I27" s="217"/>
      <c r="J27" s="217"/>
      <c r="K27" s="217">
        <f t="shared" si="0"/>
        <v>1</v>
      </c>
    </row>
    <row r="28" spans="2:11" ht="12.95" customHeight="1">
      <c r="B28" s="642"/>
      <c r="C28" s="644"/>
      <c r="D28" s="646"/>
      <c r="E28" s="218"/>
      <c r="F28" s="218"/>
      <c r="G28" s="218">
        <f>ROUND($D27*G27,2)</f>
        <v>682752</v>
      </c>
      <c r="H28" s="218"/>
      <c r="I28" s="218"/>
      <c r="J28" s="218"/>
      <c r="K28" s="218">
        <f t="shared" si="0"/>
        <v>682752</v>
      </c>
    </row>
    <row r="29" spans="2:11" ht="12" customHeight="1">
      <c r="B29" s="641" t="s">
        <v>1313</v>
      </c>
      <c r="C29" s="643" t="s">
        <v>506</v>
      </c>
      <c r="D29" s="645">
        <f>ORCAMENTO!J52</f>
        <v>300060.82</v>
      </c>
      <c r="E29" s="217"/>
      <c r="F29" s="217"/>
      <c r="G29" s="217"/>
      <c r="H29" s="217">
        <v>0.7</v>
      </c>
      <c r="I29" s="217">
        <v>0.3</v>
      </c>
      <c r="J29" s="217"/>
      <c r="K29" s="217">
        <f t="shared" si="0"/>
        <v>1</v>
      </c>
    </row>
    <row r="30" spans="2:11" ht="12.95" customHeight="1">
      <c r="B30" s="642"/>
      <c r="C30" s="644"/>
      <c r="D30" s="646"/>
      <c r="E30" s="218"/>
      <c r="F30" s="218"/>
      <c r="G30" s="218"/>
      <c r="H30" s="218">
        <f>ROUND($D29*H29,2)</f>
        <v>210042.57</v>
      </c>
      <c r="I30" s="218">
        <f>ROUND($D29*I29,2)</f>
        <v>90018.25</v>
      </c>
      <c r="J30" s="218"/>
      <c r="K30" s="218">
        <f t="shared" si="0"/>
        <v>300060.82</v>
      </c>
    </row>
    <row r="31" spans="2:11" ht="12" customHeight="1">
      <c r="B31" s="641" t="s">
        <v>1317</v>
      </c>
      <c r="C31" s="643" t="s">
        <v>507</v>
      </c>
      <c r="D31" s="645">
        <f>ORCAMENTO!J56</f>
        <v>103282.70000000001</v>
      </c>
      <c r="E31" s="217"/>
      <c r="F31" s="217"/>
      <c r="G31" s="217"/>
      <c r="H31" s="217"/>
      <c r="I31" s="217">
        <v>1</v>
      </c>
      <c r="J31" s="217"/>
      <c r="K31" s="217">
        <f t="shared" si="0"/>
        <v>1</v>
      </c>
    </row>
    <row r="32" spans="2:11" ht="12.95" customHeight="1">
      <c r="B32" s="642"/>
      <c r="C32" s="644"/>
      <c r="D32" s="646"/>
      <c r="E32" s="218"/>
      <c r="F32" s="218"/>
      <c r="G32" s="218"/>
      <c r="H32" s="218"/>
      <c r="I32" s="218">
        <f>ROUND($D31*I31,2)</f>
        <v>103282.7</v>
      </c>
      <c r="J32" s="218"/>
      <c r="K32" s="218">
        <f t="shared" si="0"/>
        <v>103282.7</v>
      </c>
    </row>
    <row r="33" spans="2:11" ht="12" customHeight="1">
      <c r="B33" s="641" t="s">
        <v>1330</v>
      </c>
      <c r="C33" s="643" t="s">
        <v>508</v>
      </c>
      <c r="D33" s="645">
        <f>ORCAMENTO!J69</f>
        <v>50247.92</v>
      </c>
      <c r="E33" s="217"/>
      <c r="F33" s="217"/>
      <c r="G33" s="217"/>
      <c r="H33" s="217">
        <v>1</v>
      </c>
      <c r="I33" s="217"/>
      <c r="J33" s="217"/>
      <c r="K33" s="217">
        <f t="shared" si="0"/>
        <v>1</v>
      </c>
    </row>
    <row r="34" spans="2:11" ht="12.95" customHeight="1">
      <c r="B34" s="642"/>
      <c r="C34" s="644"/>
      <c r="D34" s="646"/>
      <c r="E34" s="218"/>
      <c r="F34" s="218"/>
      <c r="G34" s="218"/>
      <c r="H34" s="218">
        <f>ROUND($D33*H33,2)</f>
        <v>50247.92</v>
      </c>
      <c r="I34" s="218"/>
      <c r="J34" s="218"/>
      <c r="K34" s="218">
        <f t="shared" si="0"/>
        <v>50247.92</v>
      </c>
    </row>
    <row r="35" spans="2:11" ht="12" customHeight="1">
      <c r="B35" s="641" t="s">
        <v>1336</v>
      </c>
      <c r="C35" s="643" t="s">
        <v>509</v>
      </c>
      <c r="D35" s="645">
        <f>ORCAMENTO!J75</f>
        <v>8223.0299999999988</v>
      </c>
      <c r="E35" s="217"/>
      <c r="F35" s="217"/>
      <c r="G35" s="217"/>
      <c r="H35" s="217"/>
      <c r="I35" s="217">
        <v>1</v>
      </c>
      <c r="J35" s="217"/>
      <c r="K35" s="217">
        <f t="shared" si="0"/>
        <v>1</v>
      </c>
    </row>
    <row r="36" spans="2:11" ht="12.95" customHeight="1">
      <c r="B36" s="642"/>
      <c r="C36" s="644"/>
      <c r="D36" s="646"/>
      <c r="E36" s="218"/>
      <c r="F36" s="218"/>
      <c r="G36" s="218"/>
      <c r="H36" s="218"/>
      <c r="I36" s="218">
        <f>ROUND($D35*I35,2)</f>
        <v>8223.0300000000007</v>
      </c>
      <c r="J36" s="218"/>
      <c r="K36" s="218">
        <f t="shared" si="0"/>
        <v>8223.0300000000007</v>
      </c>
    </row>
    <row r="37" spans="2:11" ht="12" customHeight="1">
      <c r="B37" s="641" t="s">
        <v>1339</v>
      </c>
      <c r="C37" s="643" t="s">
        <v>510</v>
      </c>
      <c r="D37" s="645">
        <f>ORCAMENTO!J78</f>
        <v>175480.81</v>
      </c>
      <c r="E37" s="217"/>
      <c r="F37" s="217"/>
      <c r="G37" s="217"/>
      <c r="H37" s="217"/>
      <c r="I37" s="217">
        <v>1</v>
      </c>
      <c r="J37" s="217"/>
      <c r="K37" s="217">
        <f t="shared" si="0"/>
        <v>1</v>
      </c>
    </row>
    <row r="38" spans="2:11" ht="12.95" customHeight="1">
      <c r="B38" s="642"/>
      <c r="C38" s="644"/>
      <c r="D38" s="646"/>
      <c r="E38" s="218"/>
      <c r="F38" s="218"/>
      <c r="G38" s="218"/>
      <c r="H38" s="218"/>
      <c r="I38" s="218">
        <f>ROUND($D37*I37,2)</f>
        <v>175480.81</v>
      </c>
      <c r="J38" s="218"/>
      <c r="K38" s="218">
        <f t="shared" si="0"/>
        <v>175480.81</v>
      </c>
    </row>
    <row r="39" spans="2:11" ht="12" customHeight="1">
      <c r="B39" s="641" t="s">
        <v>1350</v>
      </c>
      <c r="C39" s="643" t="s">
        <v>511</v>
      </c>
      <c r="D39" s="645">
        <f>ORCAMENTO!J89</f>
        <v>82510.509999999995</v>
      </c>
      <c r="E39" s="217"/>
      <c r="F39" s="217"/>
      <c r="G39" s="217"/>
      <c r="H39" s="217"/>
      <c r="I39" s="217"/>
      <c r="J39" s="217">
        <v>1</v>
      </c>
      <c r="K39" s="217">
        <f t="shared" si="0"/>
        <v>1</v>
      </c>
    </row>
    <row r="40" spans="2:11" ht="12.95" customHeight="1">
      <c r="B40" s="642"/>
      <c r="C40" s="644"/>
      <c r="D40" s="646"/>
      <c r="E40" s="218"/>
      <c r="F40" s="218"/>
      <c r="G40" s="218"/>
      <c r="H40" s="218"/>
      <c r="I40" s="218"/>
      <c r="J40" s="218">
        <f>ROUND($D39*J39,2)</f>
        <v>82510.509999999995</v>
      </c>
      <c r="K40" s="218">
        <f t="shared" si="0"/>
        <v>82510.509999999995</v>
      </c>
    </row>
    <row r="41" spans="2:11" ht="12" customHeight="1">
      <c r="B41" s="641" t="s">
        <v>1364</v>
      </c>
      <c r="C41" s="643" t="s">
        <v>512</v>
      </c>
      <c r="D41" s="645">
        <f>ORCAMENTO!J104</f>
        <v>13081.310000000001</v>
      </c>
      <c r="E41" s="217"/>
      <c r="F41" s="217"/>
      <c r="G41" s="217"/>
      <c r="H41" s="217"/>
      <c r="I41" s="217">
        <v>0.5</v>
      </c>
      <c r="J41" s="217">
        <v>0.4999999</v>
      </c>
      <c r="K41" s="217">
        <f t="shared" si="0"/>
        <v>0.99999989999999994</v>
      </c>
    </row>
    <row r="42" spans="2:11" ht="12.95" customHeight="1">
      <c r="B42" s="642"/>
      <c r="C42" s="644"/>
      <c r="D42" s="646"/>
      <c r="E42" s="218"/>
      <c r="F42" s="218"/>
      <c r="G42" s="218"/>
      <c r="H42" s="218"/>
      <c r="I42" s="218">
        <f>ROUND($D41*I41,2)</f>
        <v>6540.66</v>
      </c>
      <c r="J42" s="218">
        <f>ROUND($D41*J41,2)</f>
        <v>6540.65</v>
      </c>
      <c r="K42" s="218">
        <f t="shared" si="0"/>
        <v>13081.31</v>
      </c>
    </row>
    <row r="43" spans="2:11" ht="12" customHeight="1">
      <c r="B43" s="641" t="s">
        <v>1408</v>
      </c>
      <c r="C43" s="643" t="s">
        <v>513</v>
      </c>
      <c r="D43" s="645">
        <f>ORCAMENTO!J148</f>
        <v>10352.11</v>
      </c>
      <c r="E43" s="217"/>
      <c r="F43" s="217"/>
      <c r="G43" s="217"/>
      <c r="H43" s="217">
        <v>0.6</v>
      </c>
      <c r="I43" s="217">
        <v>0.4</v>
      </c>
      <c r="J43" s="217"/>
      <c r="K43" s="217">
        <f t="shared" si="0"/>
        <v>1</v>
      </c>
    </row>
    <row r="44" spans="2:11" ht="12.95" customHeight="1">
      <c r="B44" s="642"/>
      <c r="C44" s="644"/>
      <c r="D44" s="646"/>
      <c r="E44" s="218"/>
      <c r="F44" s="218"/>
      <c r="G44" s="218"/>
      <c r="H44" s="218">
        <f>ROUND($D43*H43,2)</f>
        <v>6211.27</v>
      </c>
      <c r="I44" s="218">
        <f>ROUND($D43*I43,2)</f>
        <v>4140.84</v>
      </c>
      <c r="J44" s="218"/>
      <c r="K44" s="218">
        <f t="shared" si="0"/>
        <v>10352.11</v>
      </c>
    </row>
    <row r="45" spans="2:11" ht="12" customHeight="1">
      <c r="B45" s="641" t="s">
        <v>1418</v>
      </c>
      <c r="C45" s="643" t="s">
        <v>514</v>
      </c>
      <c r="D45" s="645">
        <f>ORCAMENTO!J158</f>
        <v>24521.52</v>
      </c>
      <c r="E45" s="217"/>
      <c r="F45" s="217"/>
      <c r="G45" s="217"/>
      <c r="H45" s="217"/>
      <c r="I45" s="217">
        <v>0.6</v>
      </c>
      <c r="J45" s="217">
        <v>0.4</v>
      </c>
      <c r="K45" s="217">
        <f t="shared" si="0"/>
        <v>1</v>
      </c>
    </row>
    <row r="46" spans="2:11" ht="12.95" customHeight="1">
      <c r="B46" s="642"/>
      <c r="C46" s="644"/>
      <c r="D46" s="646"/>
      <c r="E46" s="218"/>
      <c r="F46" s="218"/>
      <c r="G46" s="218"/>
      <c r="H46" s="218"/>
      <c r="I46" s="218">
        <f>ROUND($D45*I45,2)</f>
        <v>14712.91</v>
      </c>
      <c r="J46" s="218">
        <f>ROUND($D45*J45,2)</f>
        <v>9808.61</v>
      </c>
      <c r="K46" s="218">
        <f t="shared" si="0"/>
        <v>24521.52</v>
      </c>
    </row>
    <row r="47" spans="2:11" ht="12" customHeight="1">
      <c r="B47" s="641" t="s">
        <v>1444</v>
      </c>
      <c r="C47" s="643" t="s">
        <v>515</v>
      </c>
      <c r="D47" s="645">
        <f>ORCAMENTO!J184</f>
        <v>10385.009999999998</v>
      </c>
      <c r="E47" s="217"/>
      <c r="F47" s="217"/>
      <c r="G47" s="217"/>
      <c r="H47" s="217"/>
      <c r="I47" s="217"/>
      <c r="J47" s="217">
        <v>1</v>
      </c>
      <c r="K47" s="217">
        <f t="shared" si="0"/>
        <v>1</v>
      </c>
    </row>
    <row r="48" spans="2:11" ht="12.95" customHeight="1">
      <c r="B48" s="642"/>
      <c r="C48" s="644"/>
      <c r="D48" s="646"/>
      <c r="E48" s="218"/>
      <c r="F48" s="218"/>
      <c r="G48" s="218"/>
      <c r="H48" s="218"/>
      <c r="I48" s="218"/>
      <c r="J48" s="218">
        <f>ROUND($D47*J47,2)</f>
        <v>10385.01</v>
      </c>
      <c r="K48" s="218">
        <f t="shared" si="0"/>
        <v>10385.01</v>
      </c>
    </row>
    <row r="49" spans="2:11" ht="12" customHeight="1">
      <c r="B49" s="641" t="s">
        <v>1465</v>
      </c>
      <c r="C49" s="643" t="s">
        <v>516</v>
      </c>
      <c r="D49" s="645">
        <f>ORCAMENTO!J205</f>
        <v>12773.1</v>
      </c>
      <c r="E49" s="217"/>
      <c r="F49" s="217"/>
      <c r="G49" s="217"/>
      <c r="H49" s="217"/>
      <c r="I49" s="217">
        <v>1</v>
      </c>
      <c r="J49" s="217"/>
      <c r="K49" s="217">
        <f t="shared" si="0"/>
        <v>1</v>
      </c>
    </row>
    <row r="50" spans="2:11" ht="12.95" customHeight="1">
      <c r="B50" s="642"/>
      <c r="C50" s="644"/>
      <c r="D50" s="646"/>
      <c r="E50" s="218"/>
      <c r="F50" s="218"/>
      <c r="G50" s="218"/>
      <c r="H50" s="218"/>
      <c r="I50" s="218">
        <f>ROUND($D49*I49,2)</f>
        <v>12773.1</v>
      </c>
      <c r="J50" s="218"/>
      <c r="K50" s="218">
        <f t="shared" si="0"/>
        <v>12773.1</v>
      </c>
    </row>
    <row r="51" spans="2:11" ht="12" customHeight="1">
      <c r="B51" s="641" t="s">
        <v>1476</v>
      </c>
      <c r="C51" s="643" t="s">
        <v>517</v>
      </c>
      <c r="D51" s="645">
        <f>ORCAMENTO!J216</f>
        <v>50631.81</v>
      </c>
      <c r="E51" s="217"/>
      <c r="F51" s="217">
        <v>0.19999990000000001</v>
      </c>
      <c r="G51" s="217">
        <v>0.2</v>
      </c>
      <c r="H51" s="217">
        <v>0.3</v>
      </c>
      <c r="I51" s="217">
        <v>0.3</v>
      </c>
      <c r="J51" s="217"/>
      <c r="K51" s="217">
        <f t="shared" si="0"/>
        <v>0.99999989999999994</v>
      </c>
    </row>
    <row r="52" spans="2:11" ht="12.95" customHeight="1">
      <c r="B52" s="642"/>
      <c r="C52" s="644"/>
      <c r="D52" s="646"/>
      <c r="E52" s="218"/>
      <c r="F52" s="218">
        <f>($D51*F51)</f>
        <v>10126.356936819</v>
      </c>
      <c r="G52" s="218">
        <f>($D51*G51)</f>
        <v>10126.362000000001</v>
      </c>
      <c r="H52" s="218">
        <f>($D51*H51)</f>
        <v>15189.542999999998</v>
      </c>
      <c r="I52" s="218">
        <f>($D51*I51)</f>
        <v>15189.542999999998</v>
      </c>
      <c r="J52" s="218"/>
      <c r="K52" s="218">
        <f>ROUNDUP(SUM(E52:J52),2)</f>
        <v>50631.810000000005</v>
      </c>
    </row>
    <row r="53" spans="2:11" ht="12" customHeight="1">
      <c r="B53" s="641" t="s">
        <v>1529</v>
      </c>
      <c r="C53" s="643" t="s">
        <v>518</v>
      </c>
      <c r="D53" s="645">
        <f>ORCAMENTO!J270</f>
        <v>44986.029999999992</v>
      </c>
      <c r="E53" s="217"/>
      <c r="F53" s="217"/>
      <c r="G53" s="217"/>
      <c r="H53" s="217"/>
      <c r="I53" s="217"/>
      <c r="J53" s="217">
        <v>1</v>
      </c>
      <c r="K53" s="217">
        <f t="shared" si="0"/>
        <v>1</v>
      </c>
    </row>
    <row r="54" spans="2:11" ht="12.95" customHeight="1">
      <c r="B54" s="642"/>
      <c r="C54" s="644"/>
      <c r="D54" s="646"/>
      <c r="E54" s="218"/>
      <c r="F54" s="218"/>
      <c r="G54" s="218"/>
      <c r="H54" s="218"/>
      <c r="I54" s="218"/>
      <c r="J54" s="218">
        <f>ROUND($D53*J53,2)</f>
        <v>44986.03</v>
      </c>
      <c r="K54" s="218">
        <f t="shared" si="0"/>
        <v>44986.03</v>
      </c>
    </row>
    <row r="55" spans="2:11" ht="12" customHeight="1">
      <c r="B55" s="641" t="s">
        <v>1533</v>
      </c>
      <c r="C55" s="643" t="s">
        <v>519</v>
      </c>
      <c r="D55" s="645">
        <f>ORCAMENTO!J274</f>
        <v>12130.27</v>
      </c>
      <c r="E55" s="217"/>
      <c r="F55" s="217"/>
      <c r="G55" s="217"/>
      <c r="H55" s="217"/>
      <c r="I55" s="217">
        <v>0.7</v>
      </c>
      <c r="J55" s="217">
        <v>0.3</v>
      </c>
      <c r="K55" s="217">
        <f t="shared" si="0"/>
        <v>1</v>
      </c>
    </row>
    <row r="56" spans="2:11" ht="12.95" customHeight="1">
      <c r="B56" s="642"/>
      <c r="C56" s="644"/>
      <c r="D56" s="646"/>
      <c r="E56" s="218"/>
      <c r="F56" s="218"/>
      <c r="G56" s="218"/>
      <c r="H56" s="218"/>
      <c r="I56" s="218">
        <f>ROUND($D55*I55,2)</f>
        <v>8491.19</v>
      </c>
      <c r="J56" s="218">
        <f>ROUND($D55*J55,2)</f>
        <v>3639.08</v>
      </c>
      <c r="K56" s="218">
        <f t="shared" si="0"/>
        <v>12130.27</v>
      </c>
    </row>
    <row r="57" spans="2:11" ht="12" customHeight="1">
      <c r="B57" s="641" t="s">
        <v>1547</v>
      </c>
      <c r="C57" s="643" t="s">
        <v>520</v>
      </c>
      <c r="D57" s="645">
        <f>ORCAMENTO!J288</f>
        <v>4811.76</v>
      </c>
      <c r="E57" s="217"/>
      <c r="F57" s="217"/>
      <c r="G57" s="217"/>
      <c r="H57" s="217"/>
      <c r="I57" s="217"/>
      <c r="J57" s="217">
        <v>1</v>
      </c>
      <c r="K57" s="217">
        <f t="shared" si="0"/>
        <v>1</v>
      </c>
    </row>
    <row r="58" spans="2:11" ht="12.95" customHeight="1">
      <c r="B58" s="642"/>
      <c r="C58" s="644"/>
      <c r="D58" s="646"/>
      <c r="E58" s="218"/>
      <c r="F58" s="218"/>
      <c r="G58" s="218"/>
      <c r="H58" s="218"/>
      <c r="I58" s="218"/>
      <c r="J58" s="218">
        <f>ROUND($D57*J57,2)</f>
        <v>4811.76</v>
      </c>
      <c r="K58" s="218">
        <f t="shared" si="0"/>
        <v>4811.76</v>
      </c>
    </row>
    <row r="59" spans="2:11" ht="12" customHeight="1">
      <c r="B59" s="641" t="s">
        <v>1550</v>
      </c>
      <c r="C59" s="643" t="s">
        <v>521</v>
      </c>
      <c r="D59" s="645">
        <f>ORCAMENTO!J291</f>
        <v>12898.56</v>
      </c>
      <c r="E59" s="217"/>
      <c r="F59" s="217"/>
      <c r="G59" s="217"/>
      <c r="H59" s="217">
        <v>1</v>
      </c>
      <c r="I59" s="217"/>
      <c r="J59" s="217"/>
      <c r="K59" s="217">
        <f t="shared" si="0"/>
        <v>1</v>
      </c>
    </row>
    <row r="60" spans="2:11" ht="12.95" customHeight="1">
      <c r="B60" s="642"/>
      <c r="C60" s="644"/>
      <c r="D60" s="646"/>
      <c r="E60" s="218"/>
      <c r="F60" s="218"/>
      <c r="G60" s="218"/>
      <c r="H60" s="218">
        <f>ROUND($D59*H59,2)</f>
        <v>12898.56</v>
      </c>
      <c r="I60" s="218"/>
      <c r="J60" s="218"/>
      <c r="K60" s="218">
        <f t="shared" si="0"/>
        <v>12898.56</v>
      </c>
    </row>
    <row r="61" spans="2:11" ht="12" customHeight="1">
      <c r="B61" s="641" t="s">
        <v>1558</v>
      </c>
      <c r="C61" s="643" t="s">
        <v>522</v>
      </c>
      <c r="D61" s="645">
        <f>ORCAMENTO!J299</f>
        <v>91275.520000000004</v>
      </c>
      <c r="E61" s="217"/>
      <c r="F61" s="217"/>
      <c r="G61" s="217"/>
      <c r="H61" s="217"/>
      <c r="I61" s="217"/>
      <c r="J61" s="217">
        <v>1</v>
      </c>
      <c r="K61" s="217">
        <f t="shared" si="0"/>
        <v>1</v>
      </c>
    </row>
    <row r="62" spans="2:11" ht="12.95" customHeight="1">
      <c r="B62" s="642"/>
      <c r="C62" s="644"/>
      <c r="D62" s="646"/>
      <c r="E62" s="218"/>
      <c r="F62" s="218"/>
      <c r="G62" s="218"/>
      <c r="H62" s="218"/>
      <c r="I62" s="218"/>
      <c r="J62" s="218">
        <f>ROUND($D61*J61,2)</f>
        <v>91275.520000000004</v>
      </c>
      <c r="K62" s="218">
        <f t="shared" si="0"/>
        <v>91275.520000000004</v>
      </c>
    </row>
    <row r="63" spans="2:11" ht="12" customHeight="1">
      <c r="B63" s="641" t="s">
        <v>1561</v>
      </c>
      <c r="C63" s="643" t="s">
        <v>523</v>
      </c>
      <c r="D63" s="654">
        <f>ORCAMENTO!J302</f>
        <v>1500.34</v>
      </c>
      <c r="E63" s="217"/>
      <c r="F63" s="217"/>
      <c r="G63" s="217"/>
      <c r="H63" s="217"/>
      <c r="I63" s="217"/>
      <c r="J63" s="217">
        <v>1</v>
      </c>
      <c r="K63" s="217">
        <f t="shared" si="0"/>
        <v>1</v>
      </c>
    </row>
    <row r="64" spans="2:11" ht="12.95" customHeight="1">
      <c r="B64" s="642"/>
      <c r="C64" s="644"/>
      <c r="D64" s="655"/>
      <c r="E64" s="218"/>
      <c r="F64" s="218"/>
      <c r="G64" s="218"/>
      <c r="H64" s="218"/>
      <c r="I64" s="218"/>
      <c r="J64" s="218">
        <f>ROUND($D63*J63,2)</f>
        <v>1500.34</v>
      </c>
      <c r="K64" s="218">
        <f t="shared" si="0"/>
        <v>1500.34</v>
      </c>
    </row>
    <row r="65" spans="2:11" ht="12" customHeight="1">
      <c r="B65" s="641" t="s">
        <v>1563</v>
      </c>
      <c r="C65" s="656" t="s">
        <v>1283</v>
      </c>
      <c r="D65" s="654">
        <f>ORCAMENTO!J305</f>
        <v>50378.180000000008</v>
      </c>
      <c r="E65" s="217"/>
      <c r="F65" s="217"/>
      <c r="G65" s="217"/>
      <c r="H65" s="217">
        <v>0.6</v>
      </c>
      <c r="I65" s="217">
        <v>0.4</v>
      </c>
      <c r="J65" s="217"/>
      <c r="K65" s="217">
        <f t="shared" ref="K65:K68" si="2">SUM(E65:J65)</f>
        <v>1</v>
      </c>
    </row>
    <row r="66" spans="2:11" ht="12.95" customHeight="1">
      <c r="B66" s="642"/>
      <c r="C66" s="644"/>
      <c r="D66" s="655"/>
      <c r="E66" s="218"/>
      <c r="F66" s="218"/>
      <c r="G66" s="218"/>
      <c r="H66" s="218">
        <f>ROUND($D65*H65,2)</f>
        <v>30226.91</v>
      </c>
      <c r="I66" s="218">
        <f>ROUND($D65*I65,2)</f>
        <v>20151.27</v>
      </c>
      <c r="J66" s="218"/>
      <c r="K66" s="218">
        <f t="shared" si="2"/>
        <v>50378.18</v>
      </c>
    </row>
    <row r="67" spans="2:11" ht="12" customHeight="1">
      <c r="B67" s="641" t="s">
        <v>1573</v>
      </c>
      <c r="C67" s="656" t="s">
        <v>1279</v>
      </c>
      <c r="D67" s="654">
        <f>ORCAMENTO!J318</f>
        <v>3192.56</v>
      </c>
      <c r="E67" s="217"/>
      <c r="F67" s="217"/>
      <c r="G67" s="217"/>
      <c r="H67" s="217"/>
      <c r="I67" s="217"/>
      <c r="J67" s="217">
        <v>1</v>
      </c>
      <c r="K67" s="217">
        <f t="shared" si="2"/>
        <v>1</v>
      </c>
    </row>
    <row r="68" spans="2:11" ht="12.95" customHeight="1">
      <c r="B68" s="642"/>
      <c r="C68" s="644"/>
      <c r="D68" s="655"/>
      <c r="E68" s="218"/>
      <c r="F68" s="218"/>
      <c r="G68" s="218"/>
      <c r="H68" s="218"/>
      <c r="I68" s="218"/>
      <c r="J68" s="218">
        <f>ROUND($D67*J67,2)</f>
        <v>3192.56</v>
      </c>
      <c r="K68" s="218">
        <f t="shared" si="2"/>
        <v>3192.56</v>
      </c>
    </row>
    <row r="69" spans="2:11" ht="12" customHeight="1">
      <c r="B69" s="220"/>
      <c r="C69" s="652" t="s">
        <v>524</v>
      </c>
      <c r="D69" s="631">
        <f>SUM(D19:D68)</f>
        <v>1877391.4100000006</v>
      </c>
      <c r="E69" s="221">
        <f t="shared" ref="E69:J69" si="3">E20+E22+E24+E26+E28+E30+E32+E34+E36+E38+E40+E42+E44+E46+E48+E50+E52+E54+E56+E58+E60+E62+E64+E66+E68</f>
        <v>29263.893</v>
      </c>
      <c r="F69" s="221">
        <f t="shared" si="3"/>
        <v>54731.729936819</v>
      </c>
      <c r="G69" s="221">
        <f t="shared" si="3"/>
        <v>707389.92999999993</v>
      </c>
      <c r="H69" s="221">
        <f t="shared" si="3"/>
        <v>339328.34100000001</v>
      </c>
      <c r="I69" s="221">
        <f t="shared" si="3"/>
        <v>473515.87099999998</v>
      </c>
      <c r="J69" s="221">
        <f t="shared" si="3"/>
        <v>273161.63799999998</v>
      </c>
      <c r="K69" s="650">
        <f>ROUNDUP(K20+K22+K24+K26+K28+K30+K32+K34+K36+K38+K40+K42+K44+K46+K48+K50+K52+K54+K56+K58+K60+K62+K64+K66+K68,2)</f>
        <v>1877391.41</v>
      </c>
    </row>
    <row r="70" spans="2:11" ht="12.95" customHeight="1">
      <c r="B70" s="222"/>
      <c r="C70" s="653"/>
      <c r="D70" s="632"/>
      <c r="E70" s="218">
        <f>SUM(E69)</f>
        <v>29263.893</v>
      </c>
      <c r="F70" s="218">
        <f>E70+F69</f>
        <v>83995.622936818996</v>
      </c>
      <c r="G70" s="218">
        <f t="shared" ref="G70:J70" si="4">F70+G69</f>
        <v>791385.55293681892</v>
      </c>
      <c r="H70" s="218">
        <f t="shared" si="4"/>
        <v>1130713.8939368189</v>
      </c>
      <c r="I70" s="218">
        <f t="shared" si="4"/>
        <v>1604229.764936819</v>
      </c>
      <c r="J70" s="218">
        <f t="shared" si="4"/>
        <v>1877391.402936819</v>
      </c>
      <c r="K70" s="651"/>
    </row>
    <row r="71" spans="2:11" s="586" customFormat="1" ht="12.95" customHeight="1">
      <c r="B71" s="581"/>
      <c r="C71" s="582"/>
      <c r="D71" s="583"/>
      <c r="E71" s="584"/>
      <c r="F71" s="584"/>
      <c r="G71" s="584"/>
      <c r="H71" s="584"/>
      <c r="I71" s="584"/>
      <c r="J71" s="584"/>
      <c r="K71" s="585"/>
    </row>
    <row r="72" spans="2:11" ht="17.100000000000001" customHeight="1">
      <c r="B72" s="627" t="s">
        <v>2126</v>
      </c>
      <c r="C72" s="628"/>
      <c r="D72" s="628"/>
      <c r="E72" s="628"/>
      <c r="F72" s="628"/>
      <c r="G72" s="628"/>
      <c r="H72" s="628"/>
      <c r="I72" s="628"/>
      <c r="J72" s="628"/>
      <c r="K72" s="629"/>
    </row>
    <row r="73" spans="2:11" ht="17.100000000000001" customHeight="1">
      <c r="B73" s="580" t="s">
        <v>491</v>
      </c>
      <c r="C73" s="580" t="s">
        <v>492</v>
      </c>
      <c r="D73" s="580" t="s">
        <v>493</v>
      </c>
      <c r="E73" s="580" t="s">
        <v>494</v>
      </c>
      <c r="F73" s="580" t="s">
        <v>2118</v>
      </c>
      <c r="G73" s="580" t="s">
        <v>2119</v>
      </c>
      <c r="H73" s="580" t="s">
        <v>2120</v>
      </c>
      <c r="I73" s="580" t="s">
        <v>2121</v>
      </c>
      <c r="J73" s="580" t="s">
        <v>2122</v>
      </c>
      <c r="K73" s="580" t="s">
        <v>500</v>
      </c>
    </row>
    <row r="74" spans="2:11">
      <c r="B74" s="635" t="s">
        <v>541</v>
      </c>
      <c r="C74" s="637" t="s">
        <v>501</v>
      </c>
      <c r="D74" s="639">
        <f>ORCAMENTO!J324</f>
        <v>25633</v>
      </c>
      <c r="E74" s="577"/>
      <c r="F74" s="558">
        <v>0.33329999999999999</v>
      </c>
      <c r="G74" s="558">
        <v>0.33329999999999999</v>
      </c>
      <c r="H74" s="558">
        <v>0.33339999999999997</v>
      </c>
      <c r="I74" s="558"/>
      <c r="J74" s="558"/>
      <c r="K74" s="558">
        <f t="shared" ref="K74:K101" si="5">SUM(F74:H74)</f>
        <v>1</v>
      </c>
    </row>
    <row r="75" spans="2:11">
      <c r="B75" s="636"/>
      <c r="C75" s="638"/>
      <c r="D75" s="640"/>
      <c r="E75" s="587"/>
      <c r="F75" s="588">
        <f>$D74*F74</f>
        <v>8543.4789000000001</v>
      </c>
      <c r="G75" s="588">
        <f>$D74*G74</f>
        <v>8543.4789000000001</v>
      </c>
      <c r="H75" s="588">
        <f>$D74*H74</f>
        <v>8546.0421999999999</v>
      </c>
      <c r="I75" s="588"/>
      <c r="J75" s="588"/>
      <c r="K75" s="588">
        <f t="shared" si="5"/>
        <v>25633</v>
      </c>
    </row>
    <row r="76" spans="2:11">
      <c r="B76" s="635" t="s">
        <v>544</v>
      </c>
      <c r="C76" s="637" t="s">
        <v>502</v>
      </c>
      <c r="D76" s="639">
        <f>ORCAMENTO!J326</f>
        <v>48163.810000000005</v>
      </c>
      <c r="E76" s="577"/>
      <c r="F76" s="558">
        <v>1</v>
      </c>
      <c r="G76" s="559"/>
      <c r="H76" s="559"/>
      <c r="I76" s="559"/>
      <c r="J76" s="559"/>
      <c r="K76" s="558">
        <f t="shared" si="5"/>
        <v>1</v>
      </c>
    </row>
    <row r="77" spans="2:11">
      <c r="B77" s="636"/>
      <c r="C77" s="638"/>
      <c r="D77" s="640"/>
      <c r="E77" s="587"/>
      <c r="F77" s="588">
        <f>$D76*F76</f>
        <v>48163.810000000005</v>
      </c>
      <c r="G77" s="588"/>
      <c r="H77" s="588"/>
      <c r="I77" s="588"/>
      <c r="J77" s="588"/>
      <c r="K77" s="588">
        <f t="shared" si="5"/>
        <v>48163.810000000005</v>
      </c>
    </row>
    <row r="78" spans="2:11">
      <c r="B78" s="635" t="s">
        <v>546</v>
      </c>
      <c r="C78" s="637" t="s">
        <v>506</v>
      </c>
      <c r="D78" s="639">
        <f>ORCAMENTO!J338</f>
        <v>7995.45</v>
      </c>
      <c r="E78" s="577"/>
      <c r="F78" s="558">
        <v>0.5</v>
      </c>
      <c r="G78" s="558">
        <v>0.5</v>
      </c>
      <c r="H78" s="559"/>
      <c r="I78" s="559"/>
      <c r="J78" s="559"/>
      <c r="K78" s="558">
        <f t="shared" si="5"/>
        <v>1</v>
      </c>
    </row>
    <row r="79" spans="2:11">
      <c r="B79" s="636"/>
      <c r="C79" s="638"/>
      <c r="D79" s="640"/>
      <c r="E79" s="587"/>
      <c r="F79" s="588">
        <f>$D78*F78</f>
        <v>3997.7249999999999</v>
      </c>
      <c r="G79" s="588">
        <f>$D78*G78</f>
        <v>3997.7249999999999</v>
      </c>
      <c r="H79" s="588"/>
      <c r="I79" s="588"/>
      <c r="J79" s="588"/>
      <c r="K79" s="588">
        <f t="shared" si="5"/>
        <v>7995.45</v>
      </c>
    </row>
    <row r="80" spans="2:11">
      <c r="B80" s="635" t="s">
        <v>548</v>
      </c>
      <c r="C80" s="637" t="s">
        <v>507</v>
      </c>
      <c r="D80" s="639">
        <f>ORCAMENTO!J342</f>
        <v>52047.18</v>
      </c>
      <c r="E80" s="577"/>
      <c r="F80" s="559"/>
      <c r="G80" s="559"/>
      <c r="H80" s="558">
        <v>1</v>
      </c>
      <c r="I80" s="558"/>
      <c r="J80" s="558"/>
      <c r="K80" s="558">
        <f t="shared" si="5"/>
        <v>1</v>
      </c>
    </row>
    <row r="81" spans="2:11">
      <c r="B81" s="636"/>
      <c r="C81" s="638"/>
      <c r="D81" s="640"/>
      <c r="E81" s="587"/>
      <c r="F81" s="588"/>
      <c r="G81" s="588"/>
      <c r="H81" s="588">
        <f>$D80*H80</f>
        <v>52047.18</v>
      </c>
      <c r="I81" s="588"/>
      <c r="J81" s="588"/>
      <c r="K81" s="588">
        <f t="shared" si="5"/>
        <v>52047.18</v>
      </c>
    </row>
    <row r="82" spans="2:11">
      <c r="B82" s="635" t="s">
        <v>550</v>
      </c>
      <c r="C82" s="637" t="s">
        <v>508</v>
      </c>
      <c r="D82" s="639">
        <f>ORCAMENTO!J352</f>
        <v>19800.55</v>
      </c>
      <c r="E82" s="577"/>
      <c r="F82" s="559"/>
      <c r="G82" s="558">
        <v>0.5</v>
      </c>
      <c r="H82" s="558">
        <v>0.5</v>
      </c>
      <c r="I82" s="558"/>
      <c r="J82" s="558"/>
      <c r="K82" s="558">
        <f t="shared" si="5"/>
        <v>1</v>
      </c>
    </row>
    <row r="83" spans="2:11">
      <c r="B83" s="636"/>
      <c r="C83" s="638"/>
      <c r="D83" s="640"/>
      <c r="E83" s="587"/>
      <c r="F83" s="588"/>
      <c r="G83" s="588">
        <f>$D82*G82</f>
        <v>9900.2749999999996</v>
      </c>
      <c r="H83" s="588">
        <f>$D82*H82</f>
        <v>9900.2749999999996</v>
      </c>
      <c r="I83" s="588"/>
      <c r="J83" s="588"/>
      <c r="K83" s="588">
        <f t="shared" si="5"/>
        <v>19800.55</v>
      </c>
    </row>
    <row r="84" spans="2:11">
      <c r="B84" s="635" t="s">
        <v>1154</v>
      </c>
      <c r="C84" s="637" t="s">
        <v>510</v>
      </c>
      <c r="D84" s="639">
        <f>ORCAMENTO!J354</f>
        <v>61050.47</v>
      </c>
      <c r="E84" s="577"/>
      <c r="F84" s="559"/>
      <c r="G84" s="558">
        <v>0.5</v>
      </c>
      <c r="H84" s="558">
        <v>0.5</v>
      </c>
      <c r="I84" s="558"/>
      <c r="J84" s="558"/>
      <c r="K84" s="558">
        <f t="shared" si="5"/>
        <v>1</v>
      </c>
    </row>
    <row r="85" spans="2:11">
      <c r="B85" s="636"/>
      <c r="C85" s="638"/>
      <c r="D85" s="640"/>
      <c r="E85" s="587"/>
      <c r="F85" s="588"/>
      <c r="G85" s="588">
        <f>$D84*G84</f>
        <v>30525.235000000001</v>
      </c>
      <c r="H85" s="588">
        <f>$D84*H84</f>
        <v>30525.235000000001</v>
      </c>
      <c r="I85" s="588"/>
      <c r="J85" s="588"/>
      <c r="K85" s="588">
        <f t="shared" si="5"/>
        <v>61050.47</v>
      </c>
    </row>
    <row r="86" spans="2:11">
      <c r="B86" s="635" t="s">
        <v>1918</v>
      </c>
      <c r="C86" s="637" t="s">
        <v>511</v>
      </c>
      <c r="D86" s="639">
        <f>ORCAMENTO!J358</f>
        <v>124434.02999999998</v>
      </c>
      <c r="E86" s="577"/>
      <c r="F86" s="559"/>
      <c r="G86" s="558">
        <v>0.5</v>
      </c>
      <c r="H86" s="558">
        <v>0.5</v>
      </c>
      <c r="I86" s="558"/>
      <c r="J86" s="558"/>
      <c r="K86" s="558">
        <f t="shared" si="5"/>
        <v>1</v>
      </c>
    </row>
    <row r="87" spans="2:11">
      <c r="B87" s="636"/>
      <c r="C87" s="638"/>
      <c r="D87" s="640"/>
      <c r="E87" s="587"/>
      <c r="F87" s="588"/>
      <c r="G87" s="588">
        <f>$D86*G86</f>
        <v>62217.014999999992</v>
      </c>
      <c r="H87" s="588">
        <f>$D86*H86</f>
        <v>62217.014999999992</v>
      </c>
      <c r="I87" s="588"/>
      <c r="J87" s="588"/>
      <c r="K87" s="588">
        <f t="shared" si="5"/>
        <v>124434.02999999998</v>
      </c>
    </row>
    <row r="88" spans="2:11">
      <c r="B88" s="635" t="s">
        <v>1701</v>
      </c>
      <c r="C88" s="637" t="s">
        <v>2117</v>
      </c>
      <c r="D88" s="639">
        <f>ORCAMENTO!J368</f>
        <v>107999.47</v>
      </c>
      <c r="E88" s="577"/>
      <c r="F88" s="559"/>
      <c r="G88" s="559"/>
      <c r="H88" s="558">
        <v>1</v>
      </c>
      <c r="I88" s="558"/>
      <c r="J88" s="558"/>
      <c r="K88" s="558">
        <f t="shared" si="5"/>
        <v>1</v>
      </c>
    </row>
    <row r="89" spans="2:11">
      <c r="B89" s="636"/>
      <c r="C89" s="638"/>
      <c r="D89" s="640"/>
      <c r="E89" s="587"/>
      <c r="F89" s="588"/>
      <c r="G89" s="588"/>
      <c r="H89" s="588">
        <f>$D88*H88</f>
        <v>107999.47</v>
      </c>
      <c r="I89" s="588"/>
      <c r="J89" s="588"/>
      <c r="K89" s="588">
        <f t="shared" si="5"/>
        <v>107999.47</v>
      </c>
    </row>
    <row r="90" spans="2:11">
      <c r="B90" s="635" t="s">
        <v>1894</v>
      </c>
      <c r="C90" s="637" t="s">
        <v>512</v>
      </c>
      <c r="D90" s="639">
        <f>ORCAMENTO!J376</f>
        <v>3392.2900000000009</v>
      </c>
      <c r="E90" s="577"/>
      <c r="F90" s="559"/>
      <c r="G90" s="558">
        <v>0.4</v>
      </c>
      <c r="H90" s="558">
        <v>0.6</v>
      </c>
      <c r="I90" s="558"/>
      <c r="J90" s="558"/>
      <c r="K90" s="558">
        <f t="shared" si="5"/>
        <v>1</v>
      </c>
    </row>
    <row r="91" spans="2:11">
      <c r="B91" s="636"/>
      <c r="C91" s="638"/>
      <c r="D91" s="640"/>
      <c r="E91" s="587"/>
      <c r="F91" s="588"/>
      <c r="G91" s="588">
        <f>$D90*G90</f>
        <v>1356.9160000000004</v>
      </c>
      <c r="H91" s="588">
        <f>$D90*H90</f>
        <v>2035.3740000000005</v>
      </c>
      <c r="I91" s="588"/>
      <c r="J91" s="588"/>
      <c r="K91" s="588">
        <f t="shared" si="5"/>
        <v>3392.2900000000009</v>
      </c>
    </row>
    <row r="92" spans="2:11">
      <c r="B92" s="635" t="s">
        <v>1698</v>
      </c>
      <c r="C92" s="637" t="s">
        <v>514</v>
      </c>
      <c r="D92" s="639">
        <f>ORCAMENTO!J413</f>
        <v>2601.1800000000003</v>
      </c>
      <c r="E92" s="577"/>
      <c r="F92" s="559"/>
      <c r="G92" s="559">
        <v>0.4</v>
      </c>
      <c r="H92" s="558">
        <v>0.6</v>
      </c>
      <c r="I92" s="558"/>
      <c r="J92" s="558"/>
      <c r="K92" s="558">
        <f t="shared" si="5"/>
        <v>1</v>
      </c>
    </row>
    <row r="93" spans="2:11">
      <c r="B93" s="636"/>
      <c r="C93" s="638"/>
      <c r="D93" s="640"/>
      <c r="E93" s="587"/>
      <c r="F93" s="588"/>
      <c r="G93" s="588">
        <f>$D92*G92</f>
        <v>1040.4720000000002</v>
      </c>
      <c r="H93" s="588">
        <f>$D92*H92</f>
        <v>1560.7080000000001</v>
      </c>
      <c r="I93" s="588"/>
      <c r="J93" s="588"/>
      <c r="K93" s="588">
        <f t="shared" si="5"/>
        <v>2601.1800000000003</v>
      </c>
    </row>
    <row r="94" spans="2:11">
      <c r="B94" s="635" t="s">
        <v>2054</v>
      </c>
      <c r="C94" s="637" t="s">
        <v>515</v>
      </c>
      <c r="D94" s="639">
        <f>ORCAMENTO!J419</f>
        <v>34798.26</v>
      </c>
      <c r="E94" s="577"/>
      <c r="F94" s="559"/>
      <c r="G94" s="559"/>
      <c r="H94" s="558">
        <v>1</v>
      </c>
      <c r="I94" s="558"/>
      <c r="J94" s="558"/>
      <c r="K94" s="558">
        <f t="shared" si="5"/>
        <v>1</v>
      </c>
    </row>
    <row r="95" spans="2:11">
      <c r="B95" s="636"/>
      <c r="C95" s="638"/>
      <c r="D95" s="640"/>
      <c r="E95" s="587"/>
      <c r="F95" s="588"/>
      <c r="G95" s="588"/>
      <c r="H95" s="588">
        <f>$D94*H94</f>
        <v>34798.26</v>
      </c>
      <c r="I95" s="588"/>
      <c r="J95" s="588"/>
      <c r="K95" s="588">
        <f t="shared" si="5"/>
        <v>34798.26</v>
      </c>
    </row>
    <row r="96" spans="2:11">
      <c r="B96" s="635" t="s">
        <v>2075</v>
      </c>
      <c r="C96" s="637" t="s">
        <v>517</v>
      </c>
      <c r="D96" s="639">
        <f>ORCAMENTO!J440</f>
        <v>22679.219999999998</v>
      </c>
      <c r="E96" s="577"/>
      <c r="F96" s="559"/>
      <c r="G96" s="558">
        <v>0.6</v>
      </c>
      <c r="H96" s="558">
        <v>0.4</v>
      </c>
      <c r="I96" s="558"/>
      <c r="J96" s="558"/>
      <c r="K96" s="558">
        <f t="shared" si="5"/>
        <v>1</v>
      </c>
    </row>
    <row r="97" spans="2:11">
      <c r="B97" s="636"/>
      <c r="C97" s="638"/>
      <c r="D97" s="640"/>
      <c r="E97" s="587"/>
      <c r="F97" s="588"/>
      <c r="G97" s="588">
        <f>$D96*G96</f>
        <v>13607.531999999997</v>
      </c>
      <c r="H97" s="588">
        <f>$D96*H96</f>
        <v>9071.6880000000001</v>
      </c>
      <c r="I97" s="588"/>
      <c r="J97" s="588"/>
      <c r="K97" s="588">
        <f t="shared" si="5"/>
        <v>22679.219999999998</v>
      </c>
    </row>
    <row r="98" spans="2:11">
      <c r="B98" s="635" t="s">
        <v>2127</v>
      </c>
      <c r="C98" s="637" t="s">
        <v>520</v>
      </c>
      <c r="D98" s="639">
        <f>ORCAMENTO!J478</f>
        <v>5151.74</v>
      </c>
      <c r="E98" s="577"/>
      <c r="F98" s="559"/>
      <c r="G98" s="559"/>
      <c r="H98" s="559">
        <v>1</v>
      </c>
      <c r="I98" s="559"/>
      <c r="J98" s="559"/>
      <c r="K98" s="558">
        <f t="shared" si="5"/>
        <v>1</v>
      </c>
    </row>
    <row r="99" spans="2:11">
      <c r="B99" s="636"/>
      <c r="C99" s="638"/>
      <c r="D99" s="640"/>
      <c r="E99" s="587"/>
      <c r="F99" s="588"/>
      <c r="G99" s="588"/>
      <c r="H99" s="588">
        <f>$D98*H98</f>
        <v>5151.74</v>
      </c>
      <c r="I99" s="588"/>
      <c r="J99" s="588"/>
      <c r="K99" s="588">
        <f t="shared" si="5"/>
        <v>5151.74</v>
      </c>
    </row>
    <row r="100" spans="2:11">
      <c r="B100" s="635" t="s">
        <v>2113</v>
      </c>
      <c r="C100" s="637" t="s">
        <v>523</v>
      </c>
      <c r="D100" s="639">
        <f>ORCAMENTO!J480</f>
        <v>2386.04</v>
      </c>
      <c r="E100" s="577"/>
      <c r="F100" s="559"/>
      <c r="G100" s="559"/>
      <c r="H100" s="559">
        <v>1</v>
      </c>
      <c r="I100" s="559"/>
      <c r="J100" s="559"/>
      <c r="K100" s="558">
        <f t="shared" si="5"/>
        <v>1</v>
      </c>
    </row>
    <row r="101" spans="2:11">
      <c r="B101" s="636"/>
      <c r="C101" s="638"/>
      <c r="D101" s="640"/>
      <c r="E101" s="587"/>
      <c r="F101" s="588"/>
      <c r="G101" s="588"/>
      <c r="H101" s="588">
        <f>$D100*H100</f>
        <v>2386.04</v>
      </c>
      <c r="I101" s="588"/>
      <c r="J101" s="588"/>
      <c r="K101" s="588">
        <f t="shared" si="5"/>
        <v>2386.04</v>
      </c>
    </row>
    <row r="102" spans="2:11" ht="15.75">
      <c r="B102" s="630" t="s">
        <v>524</v>
      </c>
      <c r="C102" s="630"/>
      <c r="D102" s="631">
        <f>SUM(D74:D101)</f>
        <v>518132.68999999989</v>
      </c>
      <c r="E102" s="578"/>
      <c r="F102" s="557">
        <f>F75+F77+F79+F81+F83+F85+F87+F89+F91+F93+F95+F97+F99+F101</f>
        <v>60705.013900000005</v>
      </c>
      <c r="G102" s="557">
        <f>G75+G77+G79+G81+G83+G85+G87+G89+G91+G93+G95+G97+G99+G101</f>
        <v>131188.64889999997</v>
      </c>
      <c r="H102" s="557">
        <f>H75+H77+H79+H81+H83+H85+H87+H89+H91+H93+H95+H97+H99+H101</f>
        <v>326239.02719999995</v>
      </c>
      <c r="I102" s="557"/>
      <c r="J102" s="557"/>
      <c r="K102" s="633">
        <f>ROUND(K75+K77+K79+K81+K83+K85+K87+K89+K91+K93+K95+K97+K99+K101,2)</f>
        <v>518132.69</v>
      </c>
    </row>
    <row r="103" spans="2:11" ht="15.75">
      <c r="B103" s="630"/>
      <c r="C103" s="630"/>
      <c r="D103" s="632"/>
      <c r="E103" s="579"/>
      <c r="F103" s="556">
        <f>F102</f>
        <v>60705.013900000005</v>
      </c>
      <c r="G103" s="556">
        <f>F103+G102</f>
        <v>191893.66279999999</v>
      </c>
      <c r="H103" s="556">
        <f>G103+H102</f>
        <v>518132.68999999994</v>
      </c>
      <c r="I103" s="556"/>
      <c r="J103" s="556"/>
      <c r="K103" s="634"/>
    </row>
    <row r="105" spans="2:11">
      <c r="B105" s="630" t="s">
        <v>2124</v>
      </c>
      <c r="C105" s="630"/>
      <c r="D105" s="631">
        <f t="shared" ref="D105:K105" si="6">SUM(D102,D69)</f>
        <v>2395524.1000000006</v>
      </c>
      <c r="E105" s="557">
        <f t="shared" si="6"/>
        <v>29263.893</v>
      </c>
      <c r="F105" s="557">
        <f t="shared" si="6"/>
        <v>115436.74383681901</v>
      </c>
      <c r="G105" s="557">
        <f t="shared" si="6"/>
        <v>838578.57889999985</v>
      </c>
      <c r="H105" s="557">
        <f t="shared" si="6"/>
        <v>665567.36819999991</v>
      </c>
      <c r="I105" s="557">
        <f t="shared" si="6"/>
        <v>473515.87099999998</v>
      </c>
      <c r="J105" s="557">
        <f t="shared" si="6"/>
        <v>273161.63799999998</v>
      </c>
      <c r="K105" s="631">
        <f t="shared" si="6"/>
        <v>2395524.1</v>
      </c>
    </row>
    <row r="106" spans="2:11">
      <c r="B106" s="630"/>
      <c r="C106" s="630"/>
      <c r="D106" s="632"/>
      <c r="E106" s="556">
        <f>SUM(E103,E70)</f>
        <v>29263.893</v>
      </c>
      <c r="F106" s="556">
        <f>E106+F105</f>
        <v>144700.636836819</v>
      </c>
      <c r="G106" s="556">
        <f>F106+G105</f>
        <v>983279.21573681885</v>
      </c>
      <c r="H106" s="556">
        <f>G106+H105</f>
        <v>1648846.5839368189</v>
      </c>
      <c r="I106" s="556">
        <f>H106+I105</f>
        <v>2122362.4549368187</v>
      </c>
      <c r="J106" s="556">
        <f>I106+J105</f>
        <v>2395524.0929368185</v>
      </c>
      <c r="K106" s="632"/>
    </row>
  </sheetData>
  <mergeCells count="132">
    <mergeCell ref="B2:K8"/>
    <mergeCell ref="B14:K14"/>
    <mergeCell ref="B15:I15"/>
    <mergeCell ref="B16:I16"/>
    <mergeCell ref="K69:K70"/>
    <mergeCell ref="C69:C70"/>
    <mergeCell ref="D69:D70"/>
    <mergeCell ref="B63:B64"/>
    <mergeCell ref="C63:C64"/>
    <mergeCell ref="D63:D64"/>
    <mergeCell ref="B59:B60"/>
    <mergeCell ref="C59:C60"/>
    <mergeCell ref="D59:D60"/>
    <mergeCell ref="B61:B62"/>
    <mergeCell ref="C61:C62"/>
    <mergeCell ref="D61:D62"/>
    <mergeCell ref="B65:B66"/>
    <mergeCell ref="C65:C66"/>
    <mergeCell ref="D65:D66"/>
    <mergeCell ref="B67:B68"/>
    <mergeCell ref="C67:C68"/>
    <mergeCell ref="D67:D68"/>
    <mergeCell ref="B57:B58"/>
    <mergeCell ref="C57:C58"/>
    <mergeCell ref="D57:D58"/>
    <mergeCell ref="B53:B54"/>
    <mergeCell ref="C53:C54"/>
    <mergeCell ref="D53:D54"/>
    <mergeCell ref="B55:B56"/>
    <mergeCell ref="C55:C56"/>
    <mergeCell ref="D55:D56"/>
    <mergeCell ref="B51:B52"/>
    <mergeCell ref="C51:C52"/>
    <mergeCell ref="D51:D52"/>
    <mergeCell ref="B47:B48"/>
    <mergeCell ref="C47:C48"/>
    <mergeCell ref="D47:D48"/>
    <mergeCell ref="B49:B50"/>
    <mergeCell ref="C49:C50"/>
    <mergeCell ref="D49:D50"/>
    <mergeCell ref="B41:B42"/>
    <mergeCell ref="C41:C42"/>
    <mergeCell ref="D41:D42"/>
    <mergeCell ref="B45:B46"/>
    <mergeCell ref="C45:C46"/>
    <mergeCell ref="D45:D46"/>
    <mergeCell ref="B43:B44"/>
    <mergeCell ref="C43:C44"/>
    <mergeCell ref="D43:D44"/>
    <mergeCell ref="C37:C38"/>
    <mergeCell ref="D37:D38"/>
    <mergeCell ref="B33:B34"/>
    <mergeCell ref="C33:C34"/>
    <mergeCell ref="D33:D34"/>
    <mergeCell ref="B35:B36"/>
    <mergeCell ref="C35:C36"/>
    <mergeCell ref="D35:D36"/>
    <mergeCell ref="B39:B40"/>
    <mergeCell ref="C39:C40"/>
    <mergeCell ref="D39:D40"/>
    <mergeCell ref="C90:C91"/>
    <mergeCell ref="D90:D91"/>
    <mergeCell ref="B19:B20"/>
    <mergeCell ref="C19:C20"/>
    <mergeCell ref="D19:D20"/>
    <mergeCell ref="B21:B22"/>
    <mergeCell ref="C21:C22"/>
    <mergeCell ref="D21:D22"/>
    <mergeCell ref="B23:B24"/>
    <mergeCell ref="C23:C24"/>
    <mergeCell ref="D23:D24"/>
    <mergeCell ref="B25:B26"/>
    <mergeCell ref="C25:C26"/>
    <mergeCell ref="D25:D26"/>
    <mergeCell ref="B27:B28"/>
    <mergeCell ref="C27:C28"/>
    <mergeCell ref="D27:D28"/>
    <mergeCell ref="B31:B32"/>
    <mergeCell ref="C31:C32"/>
    <mergeCell ref="D31:D32"/>
    <mergeCell ref="B29:B30"/>
    <mergeCell ref="C29:C30"/>
    <mergeCell ref="D29:D30"/>
    <mergeCell ref="B37:B38"/>
    <mergeCell ref="B84:B85"/>
    <mergeCell ref="C84:C85"/>
    <mergeCell ref="D84:D85"/>
    <mergeCell ref="B82:B83"/>
    <mergeCell ref="C82:C83"/>
    <mergeCell ref="D82:D83"/>
    <mergeCell ref="B88:B89"/>
    <mergeCell ref="C88:C89"/>
    <mergeCell ref="D88:D89"/>
    <mergeCell ref="B86:B87"/>
    <mergeCell ref="C86:C87"/>
    <mergeCell ref="D86:D87"/>
    <mergeCell ref="B74:B75"/>
    <mergeCell ref="C74:C75"/>
    <mergeCell ref="D74:D75"/>
    <mergeCell ref="B76:B77"/>
    <mergeCell ref="C76:C77"/>
    <mergeCell ref="D76:D77"/>
    <mergeCell ref="B80:B81"/>
    <mergeCell ref="C80:C81"/>
    <mergeCell ref="D80:D81"/>
    <mergeCell ref="B78:B79"/>
    <mergeCell ref="C78:C79"/>
    <mergeCell ref="D78:D79"/>
    <mergeCell ref="B17:K17"/>
    <mergeCell ref="B72:K72"/>
    <mergeCell ref="B105:C106"/>
    <mergeCell ref="D105:D106"/>
    <mergeCell ref="K105:K106"/>
    <mergeCell ref="D102:D103"/>
    <mergeCell ref="K102:K103"/>
    <mergeCell ref="B102:C103"/>
    <mergeCell ref="B100:B101"/>
    <mergeCell ref="C100:C101"/>
    <mergeCell ref="D100:D101"/>
    <mergeCell ref="B98:B99"/>
    <mergeCell ref="C98:C99"/>
    <mergeCell ref="D98:D99"/>
    <mergeCell ref="B96:B97"/>
    <mergeCell ref="C96:C97"/>
    <mergeCell ref="D96:D97"/>
    <mergeCell ref="B94:B95"/>
    <mergeCell ref="C94:C95"/>
    <mergeCell ref="D94:D95"/>
    <mergeCell ref="B92:B93"/>
    <mergeCell ref="C92:C93"/>
    <mergeCell ref="D92:D93"/>
    <mergeCell ref="B90:B91"/>
  </mergeCells>
  <pageMargins left="0.27559055118110237" right="0.27559055118110237" top="0" bottom="0.27559055118110237" header="0" footer="0"/>
  <pageSetup scale="71" fitToWidth="0" fitToHeight="0" orientation="portrait" r:id="rId1"/>
  <rowBreaks count="1" manualBreakCount="1">
    <brk id="70" min="1" max="10" man="1"/>
  </rowBreaks>
  <drawing r:id="rId2"/>
  <legacyDrawing r:id="rId3"/>
  <oleObjects>
    <mc:AlternateContent xmlns:mc="http://schemas.openxmlformats.org/markup-compatibility/2006">
      <mc:Choice Requires="x14">
        <oleObject shapeId="2049" r:id="rId4">
          <objectPr defaultSize="0" autoPict="0" r:id="rId5">
            <anchor moveWithCells="1" sizeWithCells="1">
              <from>
                <xdr:col>1</xdr:col>
                <xdr:colOff>114300</xdr:colOff>
                <xdr:row>1</xdr:row>
                <xdr:rowOff>85725</xdr:rowOff>
              </from>
              <to>
                <xdr:col>2</xdr:col>
                <xdr:colOff>381000</xdr:colOff>
                <xdr:row>7</xdr:row>
                <xdr:rowOff>85725</xdr:rowOff>
              </to>
            </anchor>
          </objectPr>
        </oleObject>
      </mc:Choice>
      <mc:Fallback>
        <oleObject shapeId="2049"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59999389629810485"/>
    <outlinePr summaryBelow="0"/>
    <pageSetUpPr fitToPage="1"/>
  </sheetPr>
  <dimension ref="B1:K48"/>
  <sheetViews>
    <sheetView view="pageBreakPreview" zoomScale="60" zoomScaleNormal="80" workbookViewId="0">
      <selection activeCell="B18" sqref="B18:K48"/>
    </sheetView>
  </sheetViews>
  <sheetFormatPr defaultRowHeight="12.75"/>
  <cols>
    <col min="1" max="1" width="3.7109375" style="555" customWidth="1"/>
    <col min="2" max="2" width="9.28515625" style="555" customWidth="1"/>
    <col min="3" max="3" width="34.7109375" style="555" customWidth="1"/>
    <col min="4" max="5" width="15" style="555" customWidth="1"/>
    <col min="6" max="10" width="11.85546875" style="555" customWidth="1"/>
    <col min="11" max="11" width="17.28515625" style="555" customWidth="1"/>
    <col min="12" max="16384" width="9.140625" style="555"/>
  </cols>
  <sheetData>
    <row r="1" spans="2:11" ht="13.5" thickBot="1"/>
    <row r="2" spans="2:11" ht="12.75" customHeight="1">
      <c r="B2" s="603" t="s">
        <v>0</v>
      </c>
      <c r="C2" s="658"/>
      <c r="D2" s="658"/>
      <c r="E2" s="658"/>
      <c r="F2" s="658"/>
      <c r="G2" s="658"/>
      <c r="H2" s="658"/>
      <c r="I2" s="658"/>
      <c r="J2" s="658"/>
      <c r="K2" s="659"/>
    </row>
    <row r="3" spans="2:11" ht="15" customHeight="1">
      <c r="B3" s="660"/>
      <c r="C3" s="661"/>
      <c r="D3" s="661"/>
      <c r="E3" s="661"/>
      <c r="F3" s="661"/>
      <c r="G3" s="661"/>
      <c r="H3" s="661"/>
      <c r="I3" s="661"/>
      <c r="J3" s="661"/>
      <c r="K3" s="662"/>
    </row>
    <row r="4" spans="2:11" ht="15" customHeight="1">
      <c r="B4" s="660"/>
      <c r="C4" s="661"/>
      <c r="D4" s="661"/>
      <c r="E4" s="661"/>
      <c r="F4" s="661"/>
      <c r="G4" s="661"/>
      <c r="H4" s="661"/>
      <c r="I4" s="661"/>
      <c r="J4" s="661"/>
      <c r="K4" s="662"/>
    </row>
    <row r="5" spans="2:11" ht="15" customHeight="1">
      <c r="B5" s="660"/>
      <c r="C5" s="661"/>
      <c r="D5" s="661"/>
      <c r="E5" s="661"/>
      <c r="F5" s="661"/>
      <c r="G5" s="661"/>
      <c r="H5" s="661"/>
      <c r="I5" s="661"/>
      <c r="J5" s="661"/>
      <c r="K5" s="662"/>
    </row>
    <row r="6" spans="2:11" ht="15" customHeight="1">
      <c r="B6" s="660"/>
      <c r="C6" s="661"/>
      <c r="D6" s="661"/>
      <c r="E6" s="661"/>
      <c r="F6" s="661"/>
      <c r="G6" s="661"/>
      <c r="H6" s="661"/>
      <c r="I6" s="661"/>
      <c r="J6" s="661"/>
      <c r="K6" s="662"/>
    </row>
    <row r="7" spans="2:11" ht="15" customHeight="1">
      <c r="B7" s="660"/>
      <c r="C7" s="661"/>
      <c r="D7" s="661"/>
      <c r="E7" s="661"/>
      <c r="F7" s="661"/>
      <c r="G7" s="661"/>
      <c r="H7" s="661"/>
      <c r="I7" s="661"/>
      <c r="J7" s="661"/>
      <c r="K7" s="662"/>
    </row>
    <row r="8" spans="2:11" ht="15.75" customHeight="1" thickBot="1">
      <c r="B8" s="663"/>
      <c r="C8" s="664"/>
      <c r="D8" s="664"/>
      <c r="E8" s="664"/>
      <c r="F8" s="664"/>
      <c r="G8" s="664"/>
      <c r="H8" s="664"/>
      <c r="I8" s="664"/>
      <c r="J8" s="664"/>
      <c r="K8" s="665"/>
    </row>
    <row r="9" spans="2:11" ht="13.5" thickBot="1">
      <c r="B9" s="11"/>
      <c r="C9" s="11"/>
      <c r="D9" s="12"/>
      <c r="E9" s="12"/>
      <c r="F9" s="13"/>
      <c r="G9" s="6"/>
      <c r="H9" s="11"/>
      <c r="I9" s="11"/>
      <c r="J9" s="11"/>
      <c r="K9" s="11"/>
    </row>
    <row r="10" spans="2:11">
      <c r="B10" s="575" t="s">
        <v>1956</v>
      </c>
      <c r="C10" s="574"/>
      <c r="D10" s="574"/>
      <c r="E10" s="574"/>
      <c r="F10" s="573"/>
      <c r="G10" s="572"/>
      <c r="H10" s="15"/>
      <c r="I10" s="15"/>
      <c r="J10" s="15"/>
      <c r="K10" s="571"/>
    </row>
    <row r="11" spans="2:11">
      <c r="B11" s="570" t="s">
        <v>488</v>
      </c>
      <c r="C11" s="563"/>
      <c r="D11" s="563"/>
      <c r="E11" s="563"/>
      <c r="F11" s="562"/>
      <c r="G11" s="561"/>
      <c r="H11" s="20"/>
      <c r="I11" s="20"/>
      <c r="J11" s="20"/>
      <c r="K11" s="569"/>
    </row>
    <row r="12" spans="2:11" ht="13.5" thickBot="1">
      <c r="B12" s="568" t="s">
        <v>489</v>
      </c>
      <c r="C12" s="567"/>
      <c r="D12" s="567"/>
      <c r="E12" s="567"/>
      <c r="F12" s="566"/>
      <c r="G12" s="565"/>
      <c r="H12" s="25"/>
      <c r="I12" s="25"/>
      <c r="J12" s="25"/>
      <c r="K12" s="564"/>
    </row>
    <row r="13" spans="2:11" ht="13.5" thickBot="1">
      <c r="B13" s="563"/>
      <c r="C13" s="563"/>
      <c r="D13" s="563"/>
      <c r="E13" s="563"/>
      <c r="F13" s="562"/>
      <c r="G13" s="561"/>
      <c r="H13" s="20"/>
      <c r="I13" s="20"/>
      <c r="J13" s="20"/>
      <c r="K13" s="561"/>
    </row>
    <row r="14" spans="2:11" ht="16.5" thickBot="1">
      <c r="B14" s="666" t="s">
        <v>490</v>
      </c>
      <c r="C14" s="667"/>
      <c r="D14" s="667"/>
      <c r="E14" s="667"/>
      <c r="F14" s="667"/>
      <c r="G14" s="667"/>
      <c r="H14" s="667"/>
      <c r="I14" s="667"/>
      <c r="J14" s="667"/>
      <c r="K14" s="668"/>
    </row>
    <row r="15" spans="2:11" ht="15">
      <c r="B15" s="657" t="s">
        <v>1713</v>
      </c>
      <c r="C15" s="657"/>
      <c r="D15" s="657"/>
      <c r="E15" s="657"/>
      <c r="F15" s="657"/>
      <c r="G15" s="657"/>
      <c r="H15" s="657"/>
      <c r="I15" s="657"/>
      <c r="J15" s="657"/>
      <c r="K15" s="657"/>
    </row>
    <row r="16" spans="2:11" ht="15">
      <c r="B16" s="657" t="s">
        <v>8</v>
      </c>
      <c r="C16" s="657"/>
      <c r="D16" s="657"/>
      <c r="E16" s="657"/>
      <c r="F16" s="657"/>
      <c r="G16" s="657"/>
      <c r="H16" s="657"/>
      <c r="I16" s="657"/>
      <c r="J16" s="657"/>
      <c r="K16" s="657"/>
    </row>
    <row r="17" spans="2:11">
      <c r="B17" s="560"/>
      <c r="C17" s="560"/>
      <c r="D17" s="560"/>
      <c r="E17" s="560"/>
      <c r="F17" s="560"/>
      <c r="G17" s="560"/>
      <c r="H17" s="560"/>
      <c r="I17" s="560"/>
      <c r="J17" s="560"/>
      <c r="K17" s="560"/>
    </row>
    <row r="18" spans="2:11" ht="17.100000000000001" customHeight="1"/>
    <row r="19" spans="2:11" ht="12" customHeight="1"/>
    <row r="20" spans="2:11" ht="12.95" customHeight="1"/>
    <row r="21" spans="2:11" ht="12" customHeight="1"/>
    <row r="22" spans="2:11" ht="12.95" customHeight="1"/>
    <row r="23" spans="2:11" ht="12" customHeight="1"/>
    <row r="24" spans="2:11" ht="12.95" customHeight="1"/>
    <row r="25" spans="2:11" ht="12" customHeight="1"/>
    <row r="26" spans="2:11" ht="12.95" customHeight="1"/>
    <row r="27" spans="2:11" ht="12" customHeight="1"/>
    <row r="28" spans="2:11" ht="12.95" customHeight="1"/>
    <row r="29" spans="2:11" ht="12" customHeight="1"/>
    <row r="30" spans="2:11" ht="12.95" customHeight="1"/>
    <row r="31" spans="2:11" ht="12" customHeight="1"/>
    <row r="32" spans="2:11" ht="12.95" customHeight="1"/>
    <row r="33" ht="12" customHeight="1"/>
    <row r="34" ht="12.95" customHeight="1"/>
    <row r="35" ht="12" customHeight="1"/>
    <row r="36" ht="12.95" customHeight="1"/>
    <row r="37" ht="12" customHeight="1"/>
    <row r="38" ht="12.95" customHeight="1"/>
    <row r="39" ht="12" customHeight="1"/>
    <row r="40" ht="12.95" customHeight="1"/>
    <row r="41" ht="12" customHeight="1"/>
    <row r="42" ht="12.95" customHeight="1"/>
    <row r="43" ht="12" customHeight="1"/>
    <row r="44" ht="12.95" customHeight="1"/>
    <row r="45" ht="12" customHeight="1"/>
    <row r="46" ht="12.95" customHeight="1"/>
    <row r="47" ht="12" customHeight="1"/>
    <row r="48" ht="12.95" customHeight="1"/>
  </sheetData>
  <mergeCells count="4">
    <mergeCell ref="B15:K15"/>
    <mergeCell ref="B16:K16"/>
    <mergeCell ref="B2:K8"/>
    <mergeCell ref="B14:K14"/>
  </mergeCells>
  <printOptions horizontalCentered="1"/>
  <pageMargins left="0.27559055118110237" right="0.27559055118110237" top="0" bottom="0.27559055118110237" header="0" footer="0"/>
  <pageSetup scale="67" fitToHeight="100" orientation="portrait" r:id="rId1"/>
  <drawing r:id="rId2"/>
  <legacyDrawing r:id="rId3"/>
  <oleObjects>
    <mc:AlternateContent xmlns:mc="http://schemas.openxmlformats.org/markup-compatibility/2006">
      <mc:Choice Requires="x14">
        <oleObject shapeId="12289" r:id="rId4">
          <objectPr defaultSize="0" autoPict="0" r:id="rId5">
            <anchor moveWithCells="1" sizeWithCells="1">
              <from>
                <xdr:col>3</xdr:col>
                <xdr:colOff>0</xdr:colOff>
                <xdr:row>1</xdr:row>
                <xdr:rowOff>57150</xdr:rowOff>
              </from>
              <to>
                <xdr:col>3</xdr:col>
                <xdr:colOff>0</xdr:colOff>
                <xdr:row>7</xdr:row>
                <xdr:rowOff>123825</xdr:rowOff>
              </to>
            </anchor>
          </objectPr>
        </oleObject>
      </mc:Choice>
      <mc:Fallback>
        <oleObject shapeId="12289" r:id="rId4"/>
      </mc:Fallback>
    </mc:AlternateContent>
    <mc:AlternateContent xmlns:mc="http://schemas.openxmlformats.org/markup-compatibility/2006">
      <mc:Choice Requires="x14">
        <oleObject shapeId="12290" r:id="rId6">
          <objectPr defaultSize="0" autoPict="0" r:id="rId5">
            <anchor moveWithCells="1" sizeWithCells="1">
              <from>
                <xdr:col>1</xdr:col>
                <xdr:colOff>552450</xdr:colOff>
                <xdr:row>1</xdr:row>
                <xdr:rowOff>57150</xdr:rowOff>
              </from>
              <to>
                <xdr:col>2</xdr:col>
                <xdr:colOff>1000125</xdr:colOff>
                <xdr:row>7</xdr:row>
                <xdr:rowOff>95250</xdr:rowOff>
              </to>
            </anchor>
          </objectPr>
        </oleObject>
      </mc:Choice>
      <mc:Fallback>
        <oleObject shapeId="12290" r:id="rId6"/>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IR950"/>
  <sheetViews>
    <sheetView view="pageBreakPreview" topLeftCell="A487" zoomScale="85" zoomScaleNormal="85" zoomScaleSheetLayoutView="85" workbookViewId="0">
      <selection activeCell="C10" sqref="C10"/>
    </sheetView>
  </sheetViews>
  <sheetFormatPr defaultRowHeight="12.75"/>
  <cols>
    <col min="1" max="1" width="3.140625" style="68" customWidth="1"/>
    <col min="2" max="2" width="12" style="69" customWidth="1"/>
    <col min="3" max="3" width="66.28515625" style="69" customWidth="1"/>
    <col min="4" max="4" width="9.7109375" style="69" customWidth="1"/>
    <col min="5" max="5" width="11.42578125" style="69" customWidth="1"/>
    <col min="6" max="8" width="9.7109375" style="159" customWidth="1"/>
    <col min="9" max="9" width="57.7109375" style="69" customWidth="1"/>
    <col min="10" max="10" width="16.5703125" style="160" customWidth="1"/>
    <col min="11" max="11" width="9.140625" style="168"/>
    <col min="12" max="12" width="9.140625" style="68" customWidth="1"/>
    <col min="13" max="51" width="9.140625" style="68"/>
    <col min="52" max="253" width="9.140625" style="69"/>
    <col min="254" max="254" width="64.42578125" style="69" bestFit="1" customWidth="1"/>
    <col min="255" max="255" width="16" style="69" customWidth="1"/>
    <col min="256" max="256" width="10.5703125" style="69" bestFit="1" customWidth="1"/>
    <col min="257" max="257" width="12.85546875" style="69" customWidth="1"/>
    <col min="258" max="264" width="14.42578125" style="69" customWidth="1"/>
    <col min="265" max="265" width="14.28515625" style="69" customWidth="1"/>
    <col min="266" max="266" width="13.28515625" style="69" customWidth="1"/>
    <col min="267" max="509" width="9.140625" style="69"/>
    <col min="510" max="510" width="64.42578125" style="69" bestFit="1" customWidth="1"/>
    <col min="511" max="511" width="16" style="69" customWidth="1"/>
    <col min="512" max="512" width="10.5703125" style="69" bestFit="1" customWidth="1"/>
    <col min="513" max="513" width="12.85546875" style="69" customWidth="1"/>
    <col min="514" max="520" width="14.42578125" style="69" customWidth="1"/>
    <col min="521" max="521" width="14.28515625" style="69" customWidth="1"/>
    <col min="522" max="522" width="13.28515625" style="69" customWidth="1"/>
    <col min="523" max="765" width="9.140625" style="69"/>
    <col min="766" max="766" width="64.42578125" style="69" bestFit="1" customWidth="1"/>
    <col min="767" max="767" width="16" style="69" customWidth="1"/>
    <col min="768" max="768" width="10.5703125" style="69" bestFit="1" customWidth="1"/>
    <col min="769" max="769" width="12.85546875" style="69" customWidth="1"/>
    <col min="770" max="776" width="14.42578125" style="69" customWidth="1"/>
    <col min="777" max="777" width="14.28515625" style="69" customWidth="1"/>
    <col min="778" max="778" width="13.28515625" style="69" customWidth="1"/>
    <col min="779" max="1021" width="9.140625" style="69"/>
    <col min="1022" max="1022" width="64.42578125" style="69" bestFit="1" customWidth="1"/>
    <col min="1023" max="1023" width="16" style="69" customWidth="1"/>
    <col min="1024" max="1024" width="10.5703125" style="69" bestFit="1" customWidth="1"/>
    <col min="1025" max="1025" width="12.85546875" style="69" customWidth="1"/>
    <col min="1026" max="1032" width="14.42578125" style="69" customWidth="1"/>
    <col min="1033" max="1033" width="14.28515625" style="69" customWidth="1"/>
    <col min="1034" max="1034" width="13.28515625" style="69" customWidth="1"/>
    <col min="1035" max="1277" width="9.140625" style="69"/>
    <col min="1278" max="1278" width="64.42578125" style="69" bestFit="1" customWidth="1"/>
    <col min="1279" max="1279" width="16" style="69" customWidth="1"/>
    <col min="1280" max="1280" width="10.5703125" style="69" bestFit="1" customWidth="1"/>
    <col min="1281" max="1281" width="12.85546875" style="69" customWidth="1"/>
    <col min="1282" max="1288" width="14.42578125" style="69" customWidth="1"/>
    <col min="1289" max="1289" width="14.28515625" style="69" customWidth="1"/>
    <col min="1290" max="1290" width="13.28515625" style="69" customWidth="1"/>
    <col min="1291" max="1533" width="9.140625" style="69"/>
    <col min="1534" max="1534" width="64.42578125" style="69" bestFit="1" customWidth="1"/>
    <col min="1535" max="1535" width="16" style="69" customWidth="1"/>
    <col min="1536" max="1536" width="10.5703125" style="69" bestFit="1" customWidth="1"/>
    <col min="1537" max="1537" width="12.85546875" style="69" customWidth="1"/>
    <col min="1538" max="1544" width="14.42578125" style="69" customWidth="1"/>
    <col min="1545" max="1545" width="14.28515625" style="69" customWidth="1"/>
    <col min="1546" max="1546" width="13.28515625" style="69" customWidth="1"/>
    <col min="1547" max="1789" width="9.140625" style="69"/>
    <col min="1790" max="1790" width="64.42578125" style="69" bestFit="1" customWidth="1"/>
    <col min="1791" max="1791" width="16" style="69" customWidth="1"/>
    <col min="1792" max="1792" width="10.5703125" style="69" bestFit="1" customWidth="1"/>
    <col min="1793" max="1793" width="12.85546875" style="69" customWidth="1"/>
    <col min="1794" max="1800" width="14.42578125" style="69" customWidth="1"/>
    <col min="1801" max="1801" width="14.28515625" style="69" customWidth="1"/>
    <col min="1802" max="1802" width="13.28515625" style="69" customWidth="1"/>
    <col min="1803" max="2045" width="9.140625" style="69"/>
    <col min="2046" max="2046" width="64.42578125" style="69" bestFit="1" customWidth="1"/>
    <col min="2047" max="2047" width="16" style="69" customWidth="1"/>
    <col min="2048" max="2048" width="10.5703125" style="69" bestFit="1" customWidth="1"/>
    <col min="2049" max="2049" width="12.85546875" style="69" customWidth="1"/>
    <col min="2050" max="2056" width="14.42578125" style="69" customWidth="1"/>
    <col min="2057" max="2057" width="14.28515625" style="69" customWidth="1"/>
    <col min="2058" max="2058" width="13.28515625" style="69" customWidth="1"/>
    <col min="2059" max="2301" width="9.140625" style="69"/>
    <col min="2302" max="2302" width="64.42578125" style="69" bestFit="1" customWidth="1"/>
    <col min="2303" max="2303" width="16" style="69" customWidth="1"/>
    <col min="2304" max="2304" width="10.5703125" style="69" bestFit="1" customWidth="1"/>
    <col min="2305" max="2305" width="12.85546875" style="69" customWidth="1"/>
    <col min="2306" max="2312" width="14.42578125" style="69" customWidth="1"/>
    <col min="2313" max="2313" width="14.28515625" style="69" customWidth="1"/>
    <col min="2314" max="2314" width="13.28515625" style="69" customWidth="1"/>
    <col min="2315" max="2557" width="9.140625" style="69"/>
    <col min="2558" max="2558" width="64.42578125" style="69" bestFit="1" customWidth="1"/>
    <col min="2559" max="2559" width="16" style="69" customWidth="1"/>
    <col min="2560" max="2560" width="10.5703125" style="69" bestFit="1" customWidth="1"/>
    <col min="2561" max="2561" width="12.85546875" style="69" customWidth="1"/>
    <col min="2562" max="2568" width="14.42578125" style="69" customWidth="1"/>
    <col min="2569" max="2569" width="14.28515625" style="69" customWidth="1"/>
    <col min="2570" max="2570" width="13.28515625" style="69" customWidth="1"/>
    <col min="2571" max="2813" width="9.140625" style="69"/>
    <col min="2814" max="2814" width="64.42578125" style="69" bestFit="1" customWidth="1"/>
    <col min="2815" max="2815" width="16" style="69" customWidth="1"/>
    <col min="2816" max="2816" width="10.5703125" style="69" bestFit="1" customWidth="1"/>
    <col min="2817" max="2817" width="12.85546875" style="69" customWidth="1"/>
    <col min="2818" max="2824" width="14.42578125" style="69" customWidth="1"/>
    <col min="2825" max="2825" width="14.28515625" style="69" customWidth="1"/>
    <col min="2826" max="2826" width="13.28515625" style="69" customWidth="1"/>
    <col min="2827" max="3069" width="9.140625" style="69"/>
    <col min="3070" max="3070" width="64.42578125" style="69" bestFit="1" customWidth="1"/>
    <col min="3071" max="3071" width="16" style="69" customWidth="1"/>
    <col min="3072" max="3072" width="10.5703125" style="69" bestFit="1" customWidth="1"/>
    <col min="3073" max="3073" width="12.85546875" style="69" customWidth="1"/>
    <col min="3074" max="3080" width="14.42578125" style="69" customWidth="1"/>
    <col min="3081" max="3081" width="14.28515625" style="69" customWidth="1"/>
    <col min="3082" max="3082" width="13.28515625" style="69" customWidth="1"/>
    <col min="3083" max="3325" width="9.140625" style="69"/>
    <col min="3326" max="3326" width="64.42578125" style="69" bestFit="1" customWidth="1"/>
    <col min="3327" max="3327" width="16" style="69" customWidth="1"/>
    <col min="3328" max="3328" width="10.5703125" style="69" bestFit="1" customWidth="1"/>
    <col min="3329" max="3329" width="12.85546875" style="69" customWidth="1"/>
    <col min="3330" max="3336" width="14.42578125" style="69" customWidth="1"/>
    <col min="3337" max="3337" width="14.28515625" style="69" customWidth="1"/>
    <col min="3338" max="3338" width="13.28515625" style="69" customWidth="1"/>
    <col min="3339" max="3581" width="9.140625" style="69"/>
    <col min="3582" max="3582" width="64.42578125" style="69" bestFit="1" customWidth="1"/>
    <col min="3583" max="3583" width="16" style="69" customWidth="1"/>
    <col min="3584" max="3584" width="10.5703125" style="69" bestFit="1" customWidth="1"/>
    <col min="3585" max="3585" width="12.85546875" style="69" customWidth="1"/>
    <col min="3586" max="3592" width="14.42578125" style="69" customWidth="1"/>
    <col min="3593" max="3593" width="14.28515625" style="69" customWidth="1"/>
    <col min="3594" max="3594" width="13.28515625" style="69" customWidth="1"/>
    <col min="3595" max="3837" width="9.140625" style="69"/>
    <col min="3838" max="3838" width="64.42578125" style="69" bestFit="1" customWidth="1"/>
    <col min="3839" max="3839" width="16" style="69" customWidth="1"/>
    <col min="3840" max="3840" width="10.5703125" style="69" bestFit="1" customWidth="1"/>
    <col min="3841" max="3841" width="12.85546875" style="69" customWidth="1"/>
    <col min="3842" max="3848" width="14.42578125" style="69" customWidth="1"/>
    <col min="3849" max="3849" width="14.28515625" style="69" customWidth="1"/>
    <col min="3850" max="3850" width="13.28515625" style="69" customWidth="1"/>
    <col min="3851" max="4093" width="9.140625" style="69"/>
    <col min="4094" max="4094" width="64.42578125" style="69" bestFit="1" customWidth="1"/>
    <col min="4095" max="4095" width="16" style="69" customWidth="1"/>
    <col min="4096" max="4096" width="10.5703125" style="69" bestFit="1" customWidth="1"/>
    <col min="4097" max="4097" width="12.85546875" style="69" customWidth="1"/>
    <col min="4098" max="4104" width="14.42578125" style="69" customWidth="1"/>
    <col min="4105" max="4105" width="14.28515625" style="69" customWidth="1"/>
    <col min="4106" max="4106" width="13.28515625" style="69" customWidth="1"/>
    <col min="4107" max="4349" width="9.140625" style="69"/>
    <col min="4350" max="4350" width="64.42578125" style="69" bestFit="1" customWidth="1"/>
    <col min="4351" max="4351" width="16" style="69" customWidth="1"/>
    <col min="4352" max="4352" width="10.5703125" style="69" bestFit="1" customWidth="1"/>
    <col min="4353" max="4353" width="12.85546875" style="69" customWidth="1"/>
    <col min="4354" max="4360" width="14.42578125" style="69" customWidth="1"/>
    <col min="4361" max="4361" width="14.28515625" style="69" customWidth="1"/>
    <col min="4362" max="4362" width="13.28515625" style="69" customWidth="1"/>
    <col min="4363" max="4605" width="9.140625" style="69"/>
    <col min="4606" max="4606" width="64.42578125" style="69" bestFit="1" customWidth="1"/>
    <col min="4607" max="4607" width="16" style="69" customWidth="1"/>
    <col min="4608" max="4608" width="10.5703125" style="69" bestFit="1" customWidth="1"/>
    <col min="4609" max="4609" width="12.85546875" style="69" customWidth="1"/>
    <col min="4610" max="4616" width="14.42578125" style="69" customWidth="1"/>
    <col min="4617" max="4617" width="14.28515625" style="69" customWidth="1"/>
    <col min="4618" max="4618" width="13.28515625" style="69" customWidth="1"/>
    <col min="4619" max="4861" width="9.140625" style="69"/>
    <col min="4862" max="4862" width="64.42578125" style="69" bestFit="1" customWidth="1"/>
    <col min="4863" max="4863" width="16" style="69" customWidth="1"/>
    <col min="4864" max="4864" width="10.5703125" style="69" bestFit="1" customWidth="1"/>
    <col min="4865" max="4865" width="12.85546875" style="69" customWidth="1"/>
    <col min="4866" max="4872" width="14.42578125" style="69" customWidth="1"/>
    <col min="4873" max="4873" width="14.28515625" style="69" customWidth="1"/>
    <col min="4874" max="4874" width="13.28515625" style="69" customWidth="1"/>
    <col min="4875" max="5117" width="9.140625" style="69"/>
    <col min="5118" max="5118" width="64.42578125" style="69" bestFit="1" customWidth="1"/>
    <col min="5119" max="5119" width="16" style="69" customWidth="1"/>
    <col min="5120" max="5120" width="10.5703125" style="69" bestFit="1" customWidth="1"/>
    <col min="5121" max="5121" width="12.85546875" style="69" customWidth="1"/>
    <col min="5122" max="5128" width="14.42578125" style="69" customWidth="1"/>
    <col min="5129" max="5129" width="14.28515625" style="69" customWidth="1"/>
    <col min="5130" max="5130" width="13.28515625" style="69" customWidth="1"/>
    <col min="5131" max="5373" width="9.140625" style="69"/>
    <col min="5374" max="5374" width="64.42578125" style="69" bestFit="1" customWidth="1"/>
    <col min="5375" max="5375" width="16" style="69" customWidth="1"/>
    <col min="5376" max="5376" width="10.5703125" style="69" bestFit="1" customWidth="1"/>
    <col min="5377" max="5377" width="12.85546875" style="69" customWidth="1"/>
    <col min="5378" max="5384" width="14.42578125" style="69" customWidth="1"/>
    <col min="5385" max="5385" width="14.28515625" style="69" customWidth="1"/>
    <col min="5386" max="5386" width="13.28515625" style="69" customWidth="1"/>
    <col min="5387" max="5629" width="9.140625" style="69"/>
    <col min="5630" max="5630" width="64.42578125" style="69" bestFit="1" customWidth="1"/>
    <col min="5631" max="5631" width="16" style="69" customWidth="1"/>
    <col min="5632" max="5632" width="10.5703125" style="69" bestFit="1" customWidth="1"/>
    <col min="5633" max="5633" width="12.85546875" style="69" customWidth="1"/>
    <col min="5634" max="5640" width="14.42578125" style="69" customWidth="1"/>
    <col min="5641" max="5641" width="14.28515625" style="69" customWidth="1"/>
    <col min="5642" max="5642" width="13.28515625" style="69" customWidth="1"/>
    <col min="5643" max="5885" width="9.140625" style="69"/>
    <col min="5886" max="5886" width="64.42578125" style="69" bestFit="1" customWidth="1"/>
    <col min="5887" max="5887" width="16" style="69" customWidth="1"/>
    <col min="5888" max="5888" width="10.5703125" style="69" bestFit="1" customWidth="1"/>
    <col min="5889" max="5889" width="12.85546875" style="69" customWidth="1"/>
    <col min="5890" max="5896" width="14.42578125" style="69" customWidth="1"/>
    <col min="5897" max="5897" width="14.28515625" style="69" customWidth="1"/>
    <col min="5898" max="5898" width="13.28515625" style="69" customWidth="1"/>
    <col min="5899" max="6141" width="9.140625" style="69"/>
    <col min="6142" max="6142" width="64.42578125" style="69" bestFit="1" customWidth="1"/>
    <col min="6143" max="6143" width="16" style="69" customWidth="1"/>
    <col min="6144" max="6144" width="10.5703125" style="69" bestFit="1" customWidth="1"/>
    <col min="6145" max="6145" width="12.85546875" style="69" customWidth="1"/>
    <col min="6146" max="6152" width="14.42578125" style="69" customWidth="1"/>
    <col min="6153" max="6153" width="14.28515625" style="69" customWidth="1"/>
    <col min="6154" max="6154" width="13.28515625" style="69" customWidth="1"/>
    <col min="6155" max="6397" width="9.140625" style="69"/>
    <col min="6398" max="6398" width="64.42578125" style="69" bestFit="1" customWidth="1"/>
    <col min="6399" max="6399" width="16" style="69" customWidth="1"/>
    <col min="6400" max="6400" width="10.5703125" style="69" bestFit="1" customWidth="1"/>
    <col min="6401" max="6401" width="12.85546875" style="69" customWidth="1"/>
    <col min="6402" max="6408" width="14.42578125" style="69" customWidth="1"/>
    <col min="6409" max="6409" width="14.28515625" style="69" customWidth="1"/>
    <col min="6410" max="6410" width="13.28515625" style="69" customWidth="1"/>
    <col min="6411" max="6653" width="9.140625" style="69"/>
    <col min="6654" max="6654" width="64.42578125" style="69" bestFit="1" customWidth="1"/>
    <col min="6655" max="6655" width="16" style="69" customWidth="1"/>
    <col min="6656" max="6656" width="10.5703125" style="69" bestFit="1" customWidth="1"/>
    <col min="6657" max="6657" width="12.85546875" style="69" customWidth="1"/>
    <col min="6658" max="6664" width="14.42578125" style="69" customWidth="1"/>
    <col min="6665" max="6665" width="14.28515625" style="69" customWidth="1"/>
    <col min="6666" max="6666" width="13.28515625" style="69" customWidth="1"/>
    <col min="6667" max="6909" width="9.140625" style="69"/>
    <col min="6910" max="6910" width="64.42578125" style="69" bestFit="1" customWidth="1"/>
    <col min="6911" max="6911" width="16" style="69" customWidth="1"/>
    <col min="6912" max="6912" width="10.5703125" style="69" bestFit="1" customWidth="1"/>
    <col min="6913" max="6913" width="12.85546875" style="69" customWidth="1"/>
    <col min="6914" max="6920" width="14.42578125" style="69" customWidth="1"/>
    <col min="6921" max="6921" width="14.28515625" style="69" customWidth="1"/>
    <col min="6922" max="6922" width="13.28515625" style="69" customWidth="1"/>
    <col min="6923" max="7165" width="9.140625" style="69"/>
    <col min="7166" max="7166" width="64.42578125" style="69" bestFit="1" customWidth="1"/>
    <col min="7167" max="7167" width="16" style="69" customWidth="1"/>
    <col min="7168" max="7168" width="10.5703125" style="69" bestFit="1" customWidth="1"/>
    <col min="7169" max="7169" width="12.85546875" style="69" customWidth="1"/>
    <col min="7170" max="7176" width="14.42578125" style="69" customWidth="1"/>
    <col min="7177" max="7177" width="14.28515625" style="69" customWidth="1"/>
    <col min="7178" max="7178" width="13.28515625" style="69" customWidth="1"/>
    <col min="7179" max="7421" width="9.140625" style="69"/>
    <col min="7422" max="7422" width="64.42578125" style="69" bestFit="1" customWidth="1"/>
    <col min="7423" max="7423" width="16" style="69" customWidth="1"/>
    <col min="7424" max="7424" width="10.5703125" style="69" bestFit="1" customWidth="1"/>
    <col min="7425" max="7425" width="12.85546875" style="69" customWidth="1"/>
    <col min="7426" max="7432" width="14.42578125" style="69" customWidth="1"/>
    <col min="7433" max="7433" width="14.28515625" style="69" customWidth="1"/>
    <col min="7434" max="7434" width="13.28515625" style="69" customWidth="1"/>
    <col min="7435" max="7677" width="9.140625" style="69"/>
    <col min="7678" max="7678" width="64.42578125" style="69" bestFit="1" customWidth="1"/>
    <col min="7679" max="7679" width="16" style="69" customWidth="1"/>
    <col min="7680" max="7680" width="10.5703125" style="69" bestFit="1" customWidth="1"/>
    <col min="7681" max="7681" width="12.85546875" style="69" customWidth="1"/>
    <col min="7682" max="7688" width="14.42578125" style="69" customWidth="1"/>
    <col min="7689" max="7689" width="14.28515625" style="69" customWidth="1"/>
    <col min="7690" max="7690" width="13.28515625" style="69" customWidth="1"/>
    <col min="7691" max="7933" width="9.140625" style="69"/>
    <col min="7934" max="7934" width="64.42578125" style="69" bestFit="1" customWidth="1"/>
    <col min="7935" max="7935" width="16" style="69" customWidth="1"/>
    <col min="7936" max="7936" width="10.5703125" style="69" bestFit="1" customWidth="1"/>
    <col min="7937" max="7937" width="12.85546875" style="69" customWidth="1"/>
    <col min="7938" max="7944" width="14.42578125" style="69" customWidth="1"/>
    <col min="7945" max="7945" width="14.28515625" style="69" customWidth="1"/>
    <col min="7946" max="7946" width="13.28515625" style="69" customWidth="1"/>
    <col min="7947" max="8189" width="9.140625" style="69"/>
    <col min="8190" max="8190" width="64.42578125" style="69" bestFit="1" customWidth="1"/>
    <col min="8191" max="8191" width="16" style="69" customWidth="1"/>
    <col min="8192" max="8192" width="10.5703125" style="69" bestFit="1" customWidth="1"/>
    <col min="8193" max="8193" width="12.85546875" style="69" customWidth="1"/>
    <col min="8194" max="8200" width="14.42578125" style="69" customWidth="1"/>
    <col min="8201" max="8201" width="14.28515625" style="69" customWidth="1"/>
    <col min="8202" max="8202" width="13.28515625" style="69" customWidth="1"/>
    <col min="8203" max="8445" width="9.140625" style="69"/>
    <col min="8446" max="8446" width="64.42578125" style="69" bestFit="1" customWidth="1"/>
    <col min="8447" max="8447" width="16" style="69" customWidth="1"/>
    <col min="8448" max="8448" width="10.5703125" style="69" bestFit="1" customWidth="1"/>
    <col min="8449" max="8449" width="12.85546875" style="69" customWidth="1"/>
    <col min="8450" max="8456" width="14.42578125" style="69" customWidth="1"/>
    <col min="8457" max="8457" width="14.28515625" style="69" customWidth="1"/>
    <col min="8458" max="8458" width="13.28515625" style="69" customWidth="1"/>
    <col min="8459" max="8701" width="9.140625" style="69"/>
    <col min="8702" max="8702" width="64.42578125" style="69" bestFit="1" customWidth="1"/>
    <col min="8703" max="8703" width="16" style="69" customWidth="1"/>
    <col min="8704" max="8704" width="10.5703125" style="69" bestFit="1" customWidth="1"/>
    <col min="8705" max="8705" width="12.85546875" style="69" customWidth="1"/>
    <col min="8706" max="8712" width="14.42578125" style="69" customWidth="1"/>
    <col min="8713" max="8713" width="14.28515625" style="69" customWidth="1"/>
    <col min="8714" max="8714" width="13.28515625" style="69" customWidth="1"/>
    <col min="8715" max="8957" width="9.140625" style="69"/>
    <col min="8958" max="8958" width="64.42578125" style="69" bestFit="1" customWidth="1"/>
    <col min="8959" max="8959" width="16" style="69" customWidth="1"/>
    <col min="8960" max="8960" width="10.5703125" style="69" bestFit="1" customWidth="1"/>
    <col min="8961" max="8961" width="12.85546875" style="69" customWidth="1"/>
    <col min="8962" max="8968" width="14.42578125" style="69" customWidth="1"/>
    <col min="8969" max="8969" width="14.28515625" style="69" customWidth="1"/>
    <col min="8970" max="8970" width="13.28515625" style="69" customWidth="1"/>
    <col min="8971" max="9213" width="9.140625" style="69"/>
    <col min="9214" max="9214" width="64.42578125" style="69" bestFit="1" customWidth="1"/>
    <col min="9215" max="9215" width="16" style="69" customWidth="1"/>
    <col min="9216" max="9216" width="10.5703125" style="69" bestFit="1" customWidth="1"/>
    <col min="9217" max="9217" width="12.85546875" style="69" customWidth="1"/>
    <col min="9218" max="9224" width="14.42578125" style="69" customWidth="1"/>
    <col min="9225" max="9225" width="14.28515625" style="69" customWidth="1"/>
    <col min="9226" max="9226" width="13.28515625" style="69" customWidth="1"/>
    <col min="9227" max="9469" width="9.140625" style="69"/>
    <col min="9470" max="9470" width="64.42578125" style="69" bestFit="1" customWidth="1"/>
    <col min="9471" max="9471" width="16" style="69" customWidth="1"/>
    <col min="9472" max="9472" width="10.5703125" style="69" bestFit="1" customWidth="1"/>
    <col min="9473" max="9473" width="12.85546875" style="69" customWidth="1"/>
    <col min="9474" max="9480" width="14.42578125" style="69" customWidth="1"/>
    <col min="9481" max="9481" width="14.28515625" style="69" customWidth="1"/>
    <col min="9482" max="9482" width="13.28515625" style="69" customWidth="1"/>
    <col min="9483" max="9725" width="9.140625" style="69"/>
    <col min="9726" max="9726" width="64.42578125" style="69" bestFit="1" customWidth="1"/>
    <col min="9727" max="9727" width="16" style="69" customWidth="1"/>
    <col min="9728" max="9728" width="10.5703125" style="69" bestFit="1" customWidth="1"/>
    <col min="9729" max="9729" width="12.85546875" style="69" customWidth="1"/>
    <col min="9730" max="9736" width="14.42578125" style="69" customWidth="1"/>
    <col min="9737" max="9737" width="14.28515625" style="69" customWidth="1"/>
    <col min="9738" max="9738" width="13.28515625" style="69" customWidth="1"/>
    <col min="9739" max="9981" width="9.140625" style="69"/>
    <col min="9982" max="9982" width="64.42578125" style="69" bestFit="1" customWidth="1"/>
    <col min="9983" max="9983" width="16" style="69" customWidth="1"/>
    <col min="9984" max="9984" width="10.5703125" style="69" bestFit="1" customWidth="1"/>
    <col min="9985" max="9985" width="12.85546875" style="69" customWidth="1"/>
    <col min="9986" max="9992" width="14.42578125" style="69" customWidth="1"/>
    <col min="9993" max="9993" width="14.28515625" style="69" customWidth="1"/>
    <col min="9994" max="9994" width="13.28515625" style="69" customWidth="1"/>
    <col min="9995" max="10237" width="9.140625" style="69"/>
    <col min="10238" max="10238" width="64.42578125" style="69" bestFit="1" customWidth="1"/>
    <col min="10239" max="10239" width="16" style="69" customWidth="1"/>
    <col min="10240" max="10240" width="10.5703125" style="69" bestFit="1" customWidth="1"/>
    <col min="10241" max="10241" width="12.85546875" style="69" customWidth="1"/>
    <col min="10242" max="10248" width="14.42578125" style="69" customWidth="1"/>
    <col min="10249" max="10249" width="14.28515625" style="69" customWidth="1"/>
    <col min="10250" max="10250" width="13.28515625" style="69" customWidth="1"/>
    <col min="10251" max="10493" width="9.140625" style="69"/>
    <col min="10494" max="10494" width="64.42578125" style="69" bestFit="1" customWidth="1"/>
    <col min="10495" max="10495" width="16" style="69" customWidth="1"/>
    <col min="10496" max="10496" width="10.5703125" style="69" bestFit="1" customWidth="1"/>
    <col min="10497" max="10497" width="12.85546875" style="69" customWidth="1"/>
    <col min="10498" max="10504" width="14.42578125" style="69" customWidth="1"/>
    <col min="10505" max="10505" width="14.28515625" style="69" customWidth="1"/>
    <col min="10506" max="10506" width="13.28515625" style="69" customWidth="1"/>
    <col min="10507" max="10749" width="9.140625" style="69"/>
    <col min="10750" max="10750" width="64.42578125" style="69" bestFit="1" customWidth="1"/>
    <col min="10751" max="10751" width="16" style="69" customWidth="1"/>
    <col min="10752" max="10752" width="10.5703125" style="69" bestFit="1" customWidth="1"/>
    <col min="10753" max="10753" width="12.85546875" style="69" customWidth="1"/>
    <col min="10754" max="10760" width="14.42578125" style="69" customWidth="1"/>
    <col min="10761" max="10761" width="14.28515625" style="69" customWidth="1"/>
    <col min="10762" max="10762" width="13.28515625" style="69" customWidth="1"/>
    <col min="10763" max="11005" width="9.140625" style="69"/>
    <col min="11006" max="11006" width="64.42578125" style="69" bestFit="1" customWidth="1"/>
    <col min="11007" max="11007" width="16" style="69" customWidth="1"/>
    <col min="11008" max="11008" width="10.5703125" style="69" bestFit="1" customWidth="1"/>
    <col min="11009" max="11009" width="12.85546875" style="69" customWidth="1"/>
    <col min="11010" max="11016" width="14.42578125" style="69" customWidth="1"/>
    <col min="11017" max="11017" width="14.28515625" style="69" customWidth="1"/>
    <col min="11018" max="11018" width="13.28515625" style="69" customWidth="1"/>
    <col min="11019" max="11261" width="9.140625" style="69"/>
    <col min="11262" max="11262" width="64.42578125" style="69" bestFit="1" customWidth="1"/>
    <col min="11263" max="11263" width="16" style="69" customWidth="1"/>
    <col min="11264" max="11264" width="10.5703125" style="69" bestFit="1" customWidth="1"/>
    <col min="11265" max="11265" width="12.85546875" style="69" customWidth="1"/>
    <col min="11266" max="11272" width="14.42578125" style="69" customWidth="1"/>
    <col min="11273" max="11273" width="14.28515625" style="69" customWidth="1"/>
    <col min="11274" max="11274" width="13.28515625" style="69" customWidth="1"/>
    <col min="11275" max="11517" width="9.140625" style="69"/>
    <col min="11518" max="11518" width="64.42578125" style="69" bestFit="1" customWidth="1"/>
    <col min="11519" max="11519" width="16" style="69" customWidth="1"/>
    <col min="11520" max="11520" width="10.5703125" style="69" bestFit="1" customWidth="1"/>
    <col min="11521" max="11521" width="12.85546875" style="69" customWidth="1"/>
    <col min="11522" max="11528" width="14.42578125" style="69" customWidth="1"/>
    <col min="11529" max="11529" width="14.28515625" style="69" customWidth="1"/>
    <col min="11530" max="11530" width="13.28515625" style="69" customWidth="1"/>
    <col min="11531" max="11773" width="9.140625" style="69"/>
    <col min="11774" max="11774" width="64.42578125" style="69" bestFit="1" customWidth="1"/>
    <col min="11775" max="11775" width="16" style="69" customWidth="1"/>
    <col min="11776" max="11776" width="10.5703125" style="69" bestFit="1" customWidth="1"/>
    <col min="11777" max="11777" width="12.85546875" style="69" customWidth="1"/>
    <col min="11778" max="11784" width="14.42578125" style="69" customWidth="1"/>
    <col min="11785" max="11785" width="14.28515625" style="69" customWidth="1"/>
    <col min="11786" max="11786" width="13.28515625" style="69" customWidth="1"/>
    <col min="11787" max="12029" width="9.140625" style="69"/>
    <col min="12030" max="12030" width="64.42578125" style="69" bestFit="1" customWidth="1"/>
    <col min="12031" max="12031" width="16" style="69" customWidth="1"/>
    <col min="12032" max="12032" width="10.5703125" style="69" bestFit="1" customWidth="1"/>
    <col min="12033" max="12033" width="12.85546875" style="69" customWidth="1"/>
    <col min="12034" max="12040" width="14.42578125" style="69" customWidth="1"/>
    <col min="12041" max="12041" width="14.28515625" style="69" customWidth="1"/>
    <col min="12042" max="12042" width="13.28515625" style="69" customWidth="1"/>
    <col min="12043" max="12285" width="9.140625" style="69"/>
    <col min="12286" max="12286" width="64.42578125" style="69" bestFit="1" customWidth="1"/>
    <col min="12287" max="12287" width="16" style="69" customWidth="1"/>
    <col min="12288" max="12288" width="10.5703125" style="69" bestFit="1" customWidth="1"/>
    <col min="12289" max="12289" width="12.85546875" style="69" customWidth="1"/>
    <col min="12290" max="12296" width="14.42578125" style="69" customWidth="1"/>
    <col min="12297" max="12297" width="14.28515625" style="69" customWidth="1"/>
    <col min="12298" max="12298" width="13.28515625" style="69" customWidth="1"/>
    <col min="12299" max="12541" width="9.140625" style="69"/>
    <col min="12542" max="12542" width="64.42578125" style="69" bestFit="1" customWidth="1"/>
    <col min="12543" max="12543" width="16" style="69" customWidth="1"/>
    <col min="12544" max="12544" width="10.5703125" style="69" bestFit="1" customWidth="1"/>
    <col min="12545" max="12545" width="12.85546875" style="69" customWidth="1"/>
    <col min="12546" max="12552" width="14.42578125" style="69" customWidth="1"/>
    <col min="12553" max="12553" width="14.28515625" style="69" customWidth="1"/>
    <col min="12554" max="12554" width="13.28515625" style="69" customWidth="1"/>
    <col min="12555" max="12797" width="9.140625" style="69"/>
    <col min="12798" max="12798" width="64.42578125" style="69" bestFit="1" customWidth="1"/>
    <col min="12799" max="12799" width="16" style="69" customWidth="1"/>
    <col min="12800" max="12800" width="10.5703125" style="69" bestFit="1" customWidth="1"/>
    <col min="12801" max="12801" width="12.85546875" style="69" customWidth="1"/>
    <col min="12802" max="12808" width="14.42578125" style="69" customWidth="1"/>
    <col min="12809" max="12809" width="14.28515625" style="69" customWidth="1"/>
    <col min="12810" max="12810" width="13.28515625" style="69" customWidth="1"/>
    <col min="12811" max="13053" width="9.140625" style="69"/>
    <col min="13054" max="13054" width="64.42578125" style="69" bestFit="1" customWidth="1"/>
    <col min="13055" max="13055" width="16" style="69" customWidth="1"/>
    <col min="13056" max="13056" width="10.5703125" style="69" bestFit="1" customWidth="1"/>
    <col min="13057" max="13057" width="12.85546875" style="69" customWidth="1"/>
    <col min="13058" max="13064" width="14.42578125" style="69" customWidth="1"/>
    <col min="13065" max="13065" width="14.28515625" style="69" customWidth="1"/>
    <col min="13066" max="13066" width="13.28515625" style="69" customWidth="1"/>
    <col min="13067" max="13309" width="9.140625" style="69"/>
    <col min="13310" max="13310" width="64.42578125" style="69" bestFit="1" customWidth="1"/>
    <col min="13311" max="13311" width="16" style="69" customWidth="1"/>
    <col min="13312" max="13312" width="10.5703125" style="69" bestFit="1" customWidth="1"/>
    <col min="13313" max="13313" width="12.85546875" style="69" customWidth="1"/>
    <col min="13314" max="13320" width="14.42578125" style="69" customWidth="1"/>
    <col min="13321" max="13321" width="14.28515625" style="69" customWidth="1"/>
    <col min="13322" max="13322" width="13.28515625" style="69" customWidth="1"/>
    <col min="13323" max="13565" width="9.140625" style="69"/>
    <col min="13566" max="13566" width="64.42578125" style="69" bestFit="1" customWidth="1"/>
    <col min="13567" max="13567" width="16" style="69" customWidth="1"/>
    <col min="13568" max="13568" width="10.5703125" style="69" bestFit="1" customWidth="1"/>
    <col min="13569" max="13569" width="12.85546875" style="69" customWidth="1"/>
    <col min="13570" max="13576" width="14.42578125" style="69" customWidth="1"/>
    <col min="13577" max="13577" width="14.28515625" style="69" customWidth="1"/>
    <col min="13578" max="13578" width="13.28515625" style="69" customWidth="1"/>
    <col min="13579" max="13821" width="9.140625" style="69"/>
    <col min="13822" max="13822" width="64.42578125" style="69" bestFit="1" customWidth="1"/>
    <col min="13823" max="13823" width="16" style="69" customWidth="1"/>
    <col min="13824" max="13824" width="10.5703125" style="69" bestFit="1" customWidth="1"/>
    <col min="13825" max="13825" width="12.85546875" style="69" customWidth="1"/>
    <col min="13826" max="13832" width="14.42578125" style="69" customWidth="1"/>
    <col min="13833" max="13833" width="14.28515625" style="69" customWidth="1"/>
    <col min="13834" max="13834" width="13.28515625" style="69" customWidth="1"/>
    <col min="13835" max="14077" width="9.140625" style="69"/>
    <col min="14078" max="14078" width="64.42578125" style="69" bestFit="1" customWidth="1"/>
    <col min="14079" max="14079" width="16" style="69" customWidth="1"/>
    <col min="14080" max="14080" width="10.5703125" style="69" bestFit="1" customWidth="1"/>
    <col min="14081" max="14081" width="12.85546875" style="69" customWidth="1"/>
    <col min="14082" max="14088" width="14.42578125" style="69" customWidth="1"/>
    <col min="14089" max="14089" width="14.28515625" style="69" customWidth="1"/>
    <col min="14090" max="14090" width="13.28515625" style="69" customWidth="1"/>
    <col min="14091" max="14333" width="9.140625" style="69"/>
    <col min="14334" max="14334" width="64.42578125" style="69" bestFit="1" customWidth="1"/>
    <col min="14335" max="14335" width="16" style="69" customWidth="1"/>
    <col min="14336" max="14336" width="10.5703125" style="69" bestFit="1" customWidth="1"/>
    <col min="14337" max="14337" width="12.85546875" style="69" customWidth="1"/>
    <col min="14338" max="14344" width="14.42578125" style="69" customWidth="1"/>
    <col min="14345" max="14345" width="14.28515625" style="69" customWidth="1"/>
    <col min="14346" max="14346" width="13.28515625" style="69" customWidth="1"/>
    <col min="14347" max="14589" width="9.140625" style="69"/>
    <col min="14590" max="14590" width="64.42578125" style="69" bestFit="1" customWidth="1"/>
    <col min="14591" max="14591" width="16" style="69" customWidth="1"/>
    <col min="14592" max="14592" width="10.5703125" style="69" bestFit="1" customWidth="1"/>
    <col min="14593" max="14593" width="12.85546875" style="69" customWidth="1"/>
    <col min="14594" max="14600" width="14.42578125" style="69" customWidth="1"/>
    <col min="14601" max="14601" width="14.28515625" style="69" customWidth="1"/>
    <col min="14602" max="14602" width="13.28515625" style="69" customWidth="1"/>
    <col min="14603" max="14845" width="9.140625" style="69"/>
    <col min="14846" max="14846" width="64.42578125" style="69" bestFit="1" customWidth="1"/>
    <col min="14847" max="14847" width="16" style="69" customWidth="1"/>
    <col min="14848" max="14848" width="10.5703125" style="69" bestFit="1" customWidth="1"/>
    <col min="14849" max="14849" width="12.85546875" style="69" customWidth="1"/>
    <col min="14850" max="14856" width="14.42578125" style="69" customWidth="1"/>
    <col min="14857" max="14857" width="14.28515625" style="69" customWidth="1"/>
    <col min="14858" max="14858" width="13.28515625" style="69" customWidth="1"/>
    <col min="14859" max="15101" width="9.140625" style="69"/>
    <col min="15102" max="15102" width="64.42578125" style="69" bestFit="1" customWidth="1"/>
    <col min="15103" max="15103" width="16" style="69" customWidth="1"/>
    <col min="15104" max="15104" width="10.5703125" style="69" bestFit="1" customWidth="1"/>
    <col min="15105" max="15105" width="12.85546875" style="69" customWidth="1"/>
    <col min="15106" max="15112" width="14.42578125" style="69" customWidth="1"/>
    <col min="15113" max="15113" width="14.28515625" style="69" customWidth="1"/>
    <col min="15114" max="15114" width="13.28515625" style="69" customWidth="1"/>
    <col min="15115" max="15357" width="9.140625" style="69"/>
    <col min="15358" max="15358" width="64.42578125" style="69" bestFit="1" customWidth="1"/>
    <col min="15359" max="15359" width="16" style="69" customWidth="1"/>
    <col min="15360" max="15360" width="10.5703125" style="69" bestFit="1" customWidth="1"/>
    <col min="15361" max="15361" width="12.85546875" style="69" customWidth="1"/>
    <col min="15362" max="15368" width="14.42578125" style="69" customWidth="1"/>
    <col min="15369" max="15369" width="14.28515625" style="69" customWidth="1"/>
    <col min="15370" max="15370" width="13.28515625" style="69" customWidth="1"/>
    <col min="15371" max="15613" width="9.140625" style="69"/>
    <col min="15614" max="15614" width="64.42578125" style="69" bestFit="1" customWidth="1"/>
    <col min="15615" max="15615" width="16" style="69" customWidth="1"/>
    <col min="15616" max="15616" width="10.5703125" style="69" bestFit="1" customWidth="1"/>
    <col min="15617" max="15617" width="12.85546875" style="69" customWidth="1"/>
    <col min="15618" max="15624" width="14.42578125" style="69" customWidth="1"/>
    <col min="15625" max="15625" width="14.28515625" style="69" customWidth="1"/>
    <col min="15626" max="15626" width="13.28515625" style="69" customWidth="1"/>
    <col min="15627" max="15869" width="9.140625" style="69"/>
    <col min="15870" max="15870" width="64.42578125" style="69" bestFit="1" customWidth="1"/>
    <col min="15871" max="15871" width="16" style="69" customWidth="1"/>
    <col min="15872" max="15872" width="10.5703125" style="69" bestFit="1" customWidth="1"/>
    <col min="15873" max="15873" width="12.85546875" style="69" customWidth="1"/>
    <col min="15874" max="15880" width="14.42578125" style="69" customWidth="1"/>
    <col min="15881" max="15881" width="14.28515625" style="69" customWidth="1"/>
    <col min="15882" max="15882" width="13.28515625" style="69" customWidth="1"/>
    <col min="15883" max="16125" width="9.140625" style="69"/>
    <col min="16126" max="16126" width="64.42578125" style="69" bestFit="1" customWidth="1"/>
    <col min="16127" max="16127" width="16" style="69" customWidth="1"/>
    <col min="16128" max="16128" width="10.5703125" style="69" bestFit="1" customWidth="1"/>
    <col min="16129" max="16129" width="12.85546875" style="69" customWidth="1"/>
    <col min="16130" max="16136" width="14.42578125" style="69" customWidth="1"/>
    <col min="16137" max="16137" width="14.28515625" style="69" customWidth="1"/>
    <col min="16138" max="16138" width="13.28515625" style="69" customWidth="1"/>
    <col min="16139" max="16384" width="9.140625" style="69"/>
  </cols>
  <sheetData>
    <row r="1" spans="1:252" ht="13.5" thickBot="1">
      <c r="A1" s="170"/>
      <c r="B1" s="170"/>
      <c r="C1" s="170"/>
      <c r="D1" s="170"/>
      <c r="E1" s="170"/>
      <c r="F1" s="102"/>
      <c r="G1" s="102"/>
      <c r="H1" s="102"/>
      <c r="I1" s="170"/>
      <c r="J1" s="111"/>
      <c r="K1" s="223"/>
      <c r="L1" s="170"/>
      <c r="M1" s="170"/>
      <c r="N1" s="170"/>
      <c r="O1" s="170"/>
      <c r="P1" s="170"/>
      <c r="Q1" s="170"/>
      <c r="R1" s="170"/>
      <c r="S1" s="170"/>
      <c r="T1" s="170"/>
      <c r="U1" s="170"/>
      <c r="V1" s="170"/>
      <c r="W1" s="170"/>
      <c r="X1" s="170"/>
      <c r="Y1" s="170"/>
      <c r="Z1" s="170"/>
      <c r="AA1" s="170"/>
      <c r="AB1" s="170"/>
      <c r="AC1" s="170"/>
      <c r="AD1" s="170"/>
      <c r="AE1" s="170"/>
      <c r="AF1" s="170"/>
      <c r="AG1" s="170"/>
      <c r="AH1" s="170"/>
      <c r="AI1" s="170"/>
      <c r="AJ1" s="170"/>
      <c r="AK1" s="170"/>
      <c r="AL1" s="170"/>
      <c r="AM1" s="170"/>
      <c r="AN1" s="170"/>
      <c r="AO1" s="170"/>
      <c r="AP1" s="170"/>
      <c r="AQ1" s="170"/>
      <c r="AR1" s="170"/>
      <c r="AS1" s="170"/>
      <c r="AT1" s="170"/>
      <c r="AU1" s="170"/>
      <c r="AV1" s="170"/>
      <c r="AW1" s="170"/>
      <c r="AX1" s="170"/>
      <c r="AY1" s="170"/>
      <c r="AZ1" s="171"/>
      <c r="BA1" s="171"/>
      <c r="BB1" s="171"/>
      <c r="BC1" s="171"/>
      <c r="BD1" s="171"/>
      <c r="BE1" s="171"/>
      <c r="BF1" s="171"/>
      <c r="BG1" s="171"/>
      <c r="BH1" s="171"/>
      <c r="BI1" s="171"/>
      <c r="BJ1" s="171"/>
      <c r="BK1" s="171"/>
      <c r="BL1" s="171"/>
      <c r="BM1" s="171"/>
      <c r="BN1" s="171"/>
      <c r="BO1" s="171"/>
      <c r="BP1" s="171"/>
      <c r="BQ1" s="171"/>
      <c r="BR1" s="171"/>
      <c r="BS1" s="171"/>
      <c r="BT1" s="171"/>
      <c r="BU1" s="171"/>
      <c r="BV1" s="171"/>
      <c r="BW1" s="171"/>
      <c r="BX1" s="171"/>
      <c r="BY1" s="171"/>
      <c r="BZ1" s="171"/>
      <c r="CA1" s="171"/>
      <c r="CB1" s="171"/>
      <c r="CC1" s="171"/>
      <c r="CD1" s="171"/>
      <c r="CE1" s="171"/>
      <c r="CF1" s="171"/>
      <c r="CG1" s="171"/>
      <c r="CH1" s="171"/>
      <c r="CI1" s="171"/>
      <c r="CJ1" s="171"/>
      <c r="CK1" s="171"/>
      <c r="CL1" s="171"/>
      <c r="CM1" s="171"/>
      <c r="CN1" s="171"/>
      <c r="CO1" s="171"/>
      <c r="CP1" s="171"/>
      <c r="CQ1" s="171"/>
      <c r="CR1" s="171"/>
      <c r="CS1" s="171"/>
      <c r="CT1" s="171"/>
      <c r="CU1" s="171"/>
      <c r="CV1" s="171"/>
      <c r="CW1" s="171"/>
      <c r="CX1" s="171"/>
      <c r="CY1" s="171"/>
      <c r="CZ1" s="171"/>
      <c r="DA1" s="171"/>
      <c r="DB1" s="171"/>
      <c r="DC1" s="171"/>
      <c r="DD1" s="171"/>
      <c r="DE1" s="171"/>
      <c r="DF1" s="171"/>
      <c r="DG1" s="171"/>
      <c r="DH1" s="171"/>
      <c r="DI1" s="171"/>
      <c r="DJ1" s="171"/>
      <c r="DK1" s="171"/>
      <c r="DL1" s="171"/>
      <c r="DM1" s="171"/>
      <c r="DN1" s="171"/>
      <c r="DO1" s="171"/>
      <c r="DP1" s="171"/>
      <c r="DQ1" s="171"/>
      <c r="DR1" s="171"/>
      <c r="DS1" s="171"/>
      <c r="DT1" s="171"/>
      <c r="DU1" s="171"/>
      <c r="DV1" s="171"/>
      <c r="DW1" s="171"/>
      <c r="DX1" s="171"/>
      <c r="DY1" s="171"/>
      <c r="DZ1" s="171"/>
      <c r="EA1" s="171"/>
      <c r="EB1" s="171"/>
      <c r="EC1" s="171"/>
      <c r="ED1" s="171"/>
      <c r="EE1" s="171"/>
      <c r="EF1" s="171"/>
      <c r="EG1" s="171"/>
      <c r="EH1" s="171"/>
      <c r="EI1" s="171"/>
      <c r="EJ1" s="171"/>
      <c r="EK1" s="171"/>
      <c r="EL1" s="171"/>
      <c r="EM1" s="171"/>
      <c r="EN1" s="171"/>
      <c r="EO1" s="171"/>
      <c r="EP1" s="171"/>
      <c r="EQ1" s="171"/>
      <c r="ER1" s="171"/>
      <c r="ES1" s="171"/>
      <c r="ET1" s="171"/>
      <c r="EU1" s="171"/>
      <c r="EV1" s="171"/>
      <c r="EW1" s="171"/>
      <c r="EX1" s="171"/>
      <c r="EY1" s="171"/>
      <c r="EZ1" s="171"/>
      <c r="FA1" s="171"/>
      <c r="FB1" s="171"/>
      <c r="FC1" s="171"/>
      <c r="FD1" s="171"/>
      <c r="FE1" s="171"/>
      <c r="FF1" s="171"/>
      <c r="FG1" s="171"/>
      <c r="FH1" s="171"/>
      <c r="FI1" s="171"/>
      <c r="FJ1" s="171"/>
      <c r="FK1" s="171"/>
      <c r="FL1" s="171"/>
      <c r="FM1" s="171"/>
      <c r="FN1" s="171"/>
      <c r="FO1" s="171"/>
      <c r="FP1" s="171"/>
      <c r="FQ1" s="171"/>
      <c r="FR1" s="171"/>
      <c r="FS1" s="171"/>
      <c r="FT1" s="171"/>
      <c r="FU1" s="171"/>
      <c r="FV1" s="171"/>
      <c r="FW1" s="171"/>
      <c r="FX1" s="171"/>
      <c r="FY1" s="171"/>
      <c r="FZ1" s="171"/>
      <c r="GA1" s="171"/>
      <c r="GB1" s="171"/>
      <c r="GC1" s="171"/>
      <c r="GD1" s="171"/>
      <c r="GE1" s="171"/>
      <c r="GF1" s="171"/>
      <c r="GG1" s="171"/>
      <c r="GH1" s="171"/>
      <c r="GI1" s="171"/>
      <c r="GJ1" s="171"/>
      <c r="GK1" s="171"/>
      <c r="GL1" s="171"/>
      <c r="GM1" s="171"/>
      <c r="GN1" s="171"/>
      <c r="GO1" s="171"/>
      <c r="GP1" s="171"/>
      <c r="GQ1" s="171"/>
      <c r="GR1" s="171"/>
      <c r="GS1" s="171"/>
      <c r="GT1" s="171"/>
      <c r="GU1" s="171"/>
      <c r="GV1" s="171"/>
      <c r="GW1" s="171"/>
      <c r="GX1" s="171"/>
      <c r="GY1" s="171"/>
      <c r="GZ1" s="171"/>
      <c r="HA1" s="171"/>
      <c r="HB1" s="171"/>
      <c r="HC1" s="171"/>
      <c r="HD1" s="171"/>
      <c r="HE1" s="171"/>
      <c r="HF1" s="171"/>
      <c r="HG1" s="171"/>
      <c r="HH1" s="171"/>
      <c r="HI1" s="171"/>
      <c r="HJ1" s="171"/>
      <c r="HK1" s="171"/>
      <c r="HL1" s="171"/>
      <c r="HM1" s="171"/>
      <c r="HN1" s="171"/>
      <c r="HO1" s="171"/>
      <c r="HP1" s="171"/>
      <c r="HQ1" s="171"/>
      <c r="HR1" s="171"/>
      <c r="HS1" s="171"/>
      <c r="HT1" s="171"/>
      <c r="HU1" s="171"/>
      <c r="HV1" s="171"/>
      <c r="HW1" s="171"/>
      <c r="HX1" s="171"/>
      <c r="HY1" s="171"/>
      <c r="HZ1" s="171"/>
      <c r="IA1" s="171"/>
      <c r="IB1" s="171"/>
      <c r="IC1" s="171"/>
      <c r="ID1" s="171"/>
      <c r="IE1" s="171"/>
      <c r="IF1" s="171"/>
      <c r="IG1" s="171"/>
      <c r="IH1" s="171"/>
      <c r="II1" s="171"/>
      <c r="IJ1" s="171"/>
      <c r="IK1" s="171"/>
      <c r="IL1" s="171"/>
      <c r="IM1" s="171"/>
      <c r="IN1" s="171"/>
      <c r="IO1" s="171"/>
      <c r="IP1" s="171"/>
      <c r="IQ1" s="171"/>
      <c r="IR1" s="171"/>
    </row>
    <row r="2" spans="1:252">
      <c r="A2" s="170"/>
      <c r="B2" s="603" t="s">
        <v>0</v>
      </c>
      <c r="C2" s="604"/>
      <c r="D2" s="604"/>
      <c r="E2" s="604"/>
      <c r="F2" s="604"/>
      <c r="G2" s="604"/>
      <c r="H2" s="604"/>
      <c r="I2" s="604"/>
      <c r="J2" s="605"/>
      <c r="K2" s="224"/>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12"/>
      <c r="AM2" s="112"/>
      <c r="AN2" s="112"/>
      <c r="AO2" s="112"/>
      <c r="AP2" s="112"/>
      <c r="AQ2" s="112"/>
      <c r="AR2" s="112"/>
      <c r="AS2" s="112"/>
      <c r="AT2" s="112"/>
      <c r="AU2" s="112"/>
      <c r="AV2" s="112"/>
      <c r="AW2" s="112"/>
      <c r="AX2" s="112"/>
      <c r="AY2" s="112"/>
      <c r="AZ2" s="113"/>
      <c r="BA2" s="113"/>
      <c r="BB2" s="113"/>
      <c r="BC2" s="113"/>
      <c r="BD2" s="113"/>
      <c r="BE2" s="113"/>
      <c r="BF2" s="113"/>
      <c r="BG2" s="113"/>
      <c r="BH2" s="113"/>
      <c r="BI2" s="113"/>
      <c r="BJ2" s="113"/>
      <c r="BK2" s="113"/>
      <c r="BL2" s="113"/>
      <c r="BM2" s="113"/>
      <c r="BN2" s="113"/>
      <c r="BO2" s="113"/>
      <c r="BP2" s="113"/>
      <c r="BQ2" s="113"/>
      <c r="BR2" s="113"/>
      <c r="BS2" s="113"/>
      <c r="BT2" s="113"/>
      <c r="BU2" s="113"/>
      <c r="BV2" s="113"/>
      <c r="BW2" s="113"/>
      <c r="BX2" s="113"/>
      <c r="BY2" s="113"/>
      <c r="BZ2" s="113"/>
      <c r="CA2" s="113"/>
      <c r="CB2" s="113"/>
      <c r="CC2" s="113"/>
      <c r="CD2" s="113"/>
      <c r="CE2" s="113"/>
      <c r="CF2" s="113"/>
      <c r="CG2" s="113"/>
      <c r="CH2" s="113"/>
      <c r="CI2" s="113"/>
      <c r="CJ2" s="113"/>
      <c r="CK2" s="113"/>
      <c r="CL2" s="113"/>
      <c r="CM2" s="113"/>
      <c r="CN2" s="113"/>
      <c r="CO2" s="113"/>
      <c r="CP2" s="113"/>
      <c r="CQ2" s="113"/>
      <c r="CR2" s="113"/>
      <c r="CS2" s="113"/>
      <c r="CT2" s="113"/>
      <c r="CU2" s="113"/>
      <c r="CV2" s="113"/>
      <c r="CW2" s="113"/>
      <c r="CX2" s="113"/>
      <c r="CY2" s="113"/>
      <c r="CZ2" s="113"/>
      <c r="DA2" s="113"/>
      <c r="DB2" s="113"/>
      <c r="DC2" s="113"/>
      <c r="DD2" s="113"/>
      <c r="DE2" s="113"/>
      <c r="DF2" s="113"/>
      <c r="DG2" s="113"/>
      <c r="DH2" s="113"/>
      <c r="DI2" s="113"/>
      <c r="DJ2" s="113"/>
      <c r="DK2" s="113"/>
      <c r="DL2" s="113"/>
      <c r="DM2" s="113"/>
      <c r="DN2" s="113"/>
      <c r="DO2" s="113"/>
      <c r="DP2" s="113"/>
      <c r="DQ2" s="113"/>
      <c r="DR2" s="113"/>
      <c r="DS2" s="113"/>
      <c r="DT2" s="113"/>
      <c r="DU2" s="113"/>
      <c r="DV2" s="113"/>
      <c r="DW2" s="113"/>
      <c r="DX2" s="113"/>
      <c r="DY2" s="113"/>
      <c r="DZ2" s="113"/>
      <c r="EA2" s="113"/>
      <c r="EB2" s="113"/>
      <c r="EC2" s="113"/>
      <c r="ED2" s="113"/>
      <c r="EE2" s="113"/>
      <c r="EF2" s="113"/>
      <c r="EG2" s="113"/>
      <c r="EH2" s="113"/>
      <c r="EI2" s="113"/>
      <c r="EJ2" s="113"/>
      <c r="EK2" s="113"/>
      <c r="EL2" s="113"/>
      <c r="EM2" s="113"/>
      <c r="EN2" s="113"/>
      <c r="EO2" s="113"/>
      <c r="EP2" s="113"/>
      <c r="EQ2" s="113"/>
      <c r="ER2" s="113"/>
      <c r="ES2" s="113"/>
      <c r="ET2" s="113"/>
      <c r="EU2" s="113"/>
      <c r="EV2" s="113"/>
      <c r="EW2" s="113"/>
      <c r="EX2" s="113"/>
      <c r="EY2" s="113"/>
      <c r="EZ2" s="113"/>
      <c r="FA2" s="113"/>
      <c r="FB2" s="113"/>
      <c r="FC2" s="113"/>
      <c r="FD2" s="113"/>
      <c r="FE2" s="113"/>
      <c r="FF2" s="113"/>
      <c r="FG2" s="113"/>
      <c r="FH2" s="113"/>
      <c r="FI2" s="113"/>
      <c r="FJ2" s="113"/>
      <c r="FK2" s="113"/>
      <c r="FL2" s="113"/>
      <c r="FM2" s="113"/>
      <c r="FN2" s="113"/>
      <c r="FO2" s="113"/>
      <c r="FP2" s="113"/>
      <c r="FQ2" s="113"/>
      <c r="FR2" s="113"/>
      <c r="FS2" s="113"/>
      <c r="FT2" s="113"/>
      <c r="FU2" s="113"/>
      <c r="FV2" s="113"/>
      <c r="FW2" s="113"/>
      <c r="FX2" s="113"/>
      <c r="FY2" s="113"/>
      <c r="FZ2" s="113"/>
      <c r="GA2" s="113"/>
      <c r="GB2" s="113"/>
      <c r="GC2" s="113"/>
      <c r="GD2" s="113"/>
      <c r="GE2" s="113"/>
      <c r="GF2" s="113"/>
      <c r="GG2" s="113"/>
      <c r="GH2" s="113"/>
      <c r="GI2" s="113"/>
      <c r="GJ2" s="113"/>
      <c r="GK2" s="113"/>
      <c r="GL2" s="113"/>
      <c r="GM2" s="113"/>
      <c r="GN2" s="113"/>
      <c r="GO2" s="113"/>
      <c r="GP2" s="113"/>
      <c r="GQ2" s="113"/>
      <c r="GR2" s="113"/>
      <c r="GS2" s="113"/>
      <c r="GT2" s="113"/>
      <c r="GU2" s="113"/>
      <c r="GV2" s="113"/>
      <c r="GW2" s="113"/>
      <c r="GX2" s="113"/>
      <c r="GY2" s="113"/>
      <c r="GZ2" s="113"/>
      <c r="HA2" s="113"/>
      <c r="HB2" s="113"/>
      <c r="HC2" s="113"/>
      <c r="HD2" s="113"/>
      <c r="HE2" s="113"/>
      <c r="HF2" s="113"/>
      <c r="HG2" s="113"/>
      <c r="HH2" s="113"/>
      <c r="HI2" s="113"/>
      <c r="HJ2" s="113"/>
      <c r="HK2" s="113"/>
      <c r="HL2" s="113"/>
      <c r="HM2" s="113"/>
      <c r="HN2" s="113"/>
      <c r="HO2" s="113"/>
      <c r="HP2" s="113"/>
      <c r="HQ2" s="113"/>
      <c r="HR2" s="113"/>
      <c r="HS2" s="113"/>
      <c r="HT2" s="113"/>
      <c r="HU2" s="113"/>
      <c r="HV2" s="113"/>
      <c r="HW2" s="113"/>
      <c r="HX2" s="113"/>
      <c r="HY2" s="113"/>
      <c r="HZ2" s="113"/>
      <c r="IA2" s="113"/>
      <c r="IB2" s="113"/>
      <c r="IC2" s="113"/>
      <c r="ID2" s="113"/>
      <c r="IE2" s="113"/>
      <c r="IF2" s="113"/>
      <c r="IG2" s="113"/>
      <c r="IH2" s="113"/>
      <c r="II2" s="113"/>
      <c r="IJ2" s="113"/>
      <c r="IK2" s="113"/>
      <c r="IL2" s="113"/>
      <c r="IM2" s="113"/>
      <c r="IN2" s="113"/>
      <c r="IO2" s="113"/>
      <c r="IP2" s="113"/>
      <c r="IQ2" s="113"/>
      <c r="IR2" s="113"/>
    </row>
    <row r="3" spans="1:252" s="62" customFormat="1">
      <c r="A3" s="28"/>
      <c r="B3" s="606"/>
      <c r="C3" s="607"/>
      <c r="D3" s="607"/>
      <c r="E3" s="607"/>
      <c r="F3" s="607"/>
      <c r="G3" s="607"/>
      <c r="H3" s="607"/>
      <c r="I3" s="607"/>
      <c r="J3" s="608"/>
      <c r="K3" s="64"/>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row>
    <row r="4" spans="1:252" s="62" customFormat="1">
      <c r="A4" s="28"/>
      <c r="B4" s="606"/>
      <c r="C4" s="607"/>
      <c r="D4" s="607"/>
      <c r="E4" s="607"/>
      <c r="F4" s="607"/>
      <c r="G4" s="607"/>
      <c r="H4" s="607"/>
      <c r="I4" s="607"/>
      <c r="J4" s="608"/>
      <c r="K4" s="64"/>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row>
    <row r="5" spans="1:252" s="62" customFormat="1">
      <c r="A5" s="28"/>
      <c r="B5" s="606"/>
      <c r="C5" s="607"/>
      <c r="D5" s="607"/>
      <c r="E5" s="607"/>
      <c r="F5" s="607"/>
      <c r="G5" s="607"/>
      <c r="H5" s="607"/>
      <c r="I5" s="607"/>
      <c r="J5" s="608"/>
      <c r="K5" s="64"/>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row>
    <row r="6" spans="1:252" s="62" customFormat="1">
      <c r="A6" s="28"/>
      <c r="B6" s="606"/>
      <c r="C6" s="607"/>
      <c r="D6" s="607"/>
      <c r="E6" s="607"/>
      <c r="F6" s="607"/>
      <c r="G6" s="607"/>
      <c r="H6" s="607"/>
      <c r="I6" s="607"/>
      <c r="J6" s="608"/>
      <c r="K6" s="64"/>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row>
    <row r="7" spans="1:252">
      <c r="A7" s="170"/>
      <c r="B7" s="606"/>
      <c r="C7" s="607"/>
      <c r="D7" s="607"/>
      <c r="E7" s="607"/>
      <c r="F7" s="607"/>
      <c r="G7" s="607"/>
      <c r="H7" s="607"/>
      <c r="I7" s="607"/>
      <c r="J7" s="608"/>
      <c r="K7" s="224"/>
      <c r="L7" s="112"/>
      <c r="M7" s="112"/>
      <c r="N7" s="112"/>
      <c r="O7" s="112"/>
      <c r="P7" s="112"/>
      <c r="Q7" s="112"/>
      <c r="R7" s="112"/>
      <c r="S7" s="112"/>
      <c r="T7" s="112"/>
      <c r="U7" s="112"/>
      <c r="V7" s="112"/>
      <c r="W7" s="112"/>
      <c r="X7" s="112"/>
      <c r="Y7" s="112"/>
      <c r="Z7" s="112"/>
      <c r="AA7" s="112"/>
      <c r="AB7" s="112"/>
      <c r="AC7" s="112"/>
      <c r="AD7" s="112"/>
      <c r="AE7" s="112"/>
      <c r="AF7" s="112"/>
      <c r="AG7" s="112"/>
      <c r="AH7" s="112"/>
      <c r="AI7" s="112"/>
      <c r="AJ7" s="112"/>
      <c r="AK7" s="112"/>
      <c r="AL7" s="112"/>
      <c r="AM7" s="112"/>
      <c r="AN7" s="112"/>
      <c r="AO7" s="112"/>
      <c r="AP7" s="112"/>
      <c r="AQ7" s="112"/>
      <c r="AR7" s="112"/>
      <c r="AS7" s="112"/>
      <c r="AT7" s="112"/>
      <c r="AU7" s="112"/>
      <c r="AV7" s="112"/>
      <c r="AW7" s="112"/>
      <c r="AX7" s="112"/>
      <c r="AY7" s="112"/>
      <c r="AZ7" s="113"/>
      <c r="BA7" s="113"/>
      <c r="BB7" s="113"/>
      <c r="BC7" s="113"/>
      <c r="BD7" s="113"/>
      <c r="BE7" s="113"/>
      <c r="BF7" s="113"/>
      <c r="BG7" s="113"/>
      <c r="BH7" s="113"/>
      <c r="BI7" s="113"/>
      <c r="BJ7" s="113"/>
      <c r="BK7" s="113"/>
      <c r="BL7" s="113"/>
      <c r="BM7" s="113"/>
      <c r="BN7" s="113"/>
      <c r="BO7" s="113"/>
      <c r="BP7" s="113"/>
      <c r="BQ7" s="113"/>
      <c r="BR7" s="113"/>
      <c r="BS7" s="113"/>
      <c r="BT7" s="113"/>
      <c r="BU7" s="113"/>
      <c r="BV7" s="113"/>
      <c r="BW7" s="113"/>
      <c r="BX7" s="113"/>
      <c r="BY7" s="113"/>
      <c r="BZ7" s="113"/>
      <c r="CA7" s="113"/>
      <c r="CB7" s="113"/>
      <c r="CC7" s="113"/>
      <c r="CD7" s="113"/>
      <c r="CE7" s="113"/>
      <c r="CF7" s="113"/>
      <c r="CG7" s="113"/>
      <c r="CH7" s="113"/>
      <c r="CI7" s="113"/>
      <c r="CJ7" s="113"/>
      <c r="CK7" s="113"/>
      <c r="CL7" s="113"/>
      <c r="CM7" s="113"/>
      <c r="CN7" s="113"/>
      <c r="CO7" s="113"/>
      <c r="CP7" s="113"/>
      <c r="CQ7" s="113"/>
      <c r="CR7" s="113"/>
      <c r="CS7" s="113"/>
      <c r="CT7" s="113"/>
      <c r="CU7" s="113"/>
      <c r="CV7" s="113"/>
      <c r="CW7" s="113"/>
      <c r="CX7" s="113"/>
      <c r="CY7" s="113"/>
      <c r="CZ7" s="113"/>
      <c r="DA7" s="113"/>
      <c r="DB7" s="113"/>
      <c r="DC7" s="113"/>
      <c r="DD7" s="113"/>
      <c r="DE7" s="113"/>
      <c r="DF7" s="113"/>
      <c r="DG7" s="113"/>
      <c r="DH7" s="113"/>
      <c r="DI7" s="113"/>
      <c r="DJ7" s="113"/>
      <c r="DK7" s="113"/>
      <c r="DL7" s="113"/>
      <c r="DM7" s="113"/>
      <c r="DN7" s="113"/>
      <c r="DO7" s="113"/>
      <c r="DP7" s="113"/>
      <c r="DQ7" s="113"/>
      <c r="DR7" s="113"/>
      <c r="DS7" s="113"/>
      <c r="DT7" s="113"/>
      <c r="DU7" s="113"/>
      <c r="DV7" s="113"/>
      <c r="DW7" s="113"/>
      <c r="DX7" s="113"/>
      <c r="DY7" s="113"/>
      <c r="DZ7" s="113"/>
      <c r="EA7" s="113"/>
      <c r="EB7" s="113"/>
      <c r="EC7" s="113"/>
      <c r="ED7" s="113"/>
      <c r="EE7" s="113"/>
      <c r="EF7" s="113"/>
      <c r="EG7" s="113"/>
      <c r="EH7" s="113"/>
      <c r="EI7" s="113"/>
      <c r="EJ7" s="113"/>
      <c r="EK7" s="113"/>
      <c r="EL7" s="113"/>
      <c r="EM7" s="113"/>
      <c r="EN7" s="113"/>
      <c r="EO7" s="113"/>
      <c r="EP7" s="113"/>
      <c r="EQ7" s="113"/>
      <c r="ER7" s="113"/>
      <c r="ES7" s="113"/>
      <c r="ET7" s="113"/>
      <c r="EU7" s="113"/>
      <c r="EV7" s="113"/>
      <c r="EW7" s="113"/>
      <c r="EX7" s="113"/>
      <c r="EY7" s="113"/>
      <c r="EZ7" s="113"/>
      <c r="FA7" s="113"/>
      <c r="FB7" s="113"/>
      <c r="FC7" s="113"/>
      <c r="FD7" s="113"/>
      <c r="FE7" s="113"/>
      <c r="FF7" s="113"/>
      <c r="FG7" s="113"/>
      <c r="FH7" s="113"/>
      <c r="FI7" s="113"/>
      <c r="FJ7" s="113"/>
      <c r="FK7" s="113"/>
      <c r="FL7" s="113"/>
      <c r="FM7" s="113"/>
      <c r="FN7" s="113"/>
      <c r="FO7" s="113"/>
      <c r="FP7" s="113"/>
      <c r="FQ7" s="113"/>
      <c r="FR7" s="113"/>
      <c r="FS7" s="113"/>
      <c r="FT7" s="113"/>
      <c r="FU7" s="113"/>
      <c r="FV7" s="113"/>
      <c r="FW7" s="113"/>
      <c r="FX7" s="113"/>
      <c r="FY7" s="113"/>
      <c r="FZ7" s="113"/>
      <c r="GA7" s="113"/>
      <c r="GB7" s="113"/>
      <c r="GC7" s="113"/>
      <c r="GD7" s="113"/>
      <c r="GE7" s="113"/>
      <c r="GF7" s="113"/>
      <c r="GG7" s="113"/>
      <c r="GH7" s="113"/>
      <c r="GI7" s="113"/>
      <c r="GJ7" s="113"/>
      <c r="GK7" s="113"/>
      <c r="GL7" s="113"/>
      <c r="GM7" s="113"/>
      <c r="GN7" s="113"/>
      <c r="GO7" s="113"/>
      <c r="GP7" s="113"/>
      <c r="GQ7" s="113"/>
      <c r="GR7" s="113"/>
      <c r="GS7" s="113"/>
      <c r="GT7" s="113"/>
      <c r="GU7" s="113"/>
      <c r="GV7" s="113"/>
      <c r="GW7" s="113"/>
      <c r="GX7" s="113"/>
      <c r="GY7" s="113"/>
      <c r="GZ7" s="113"/>
      <c r="HA7" s="113"/>
      <c r="HB7" s="113"/>
      <c r="HC7" s="113"/>
      <c r="HD7" s="113"/>
      <c r="HE7" s="113"/>
      <c r="HF7" s="113"/>
      <c r="HG7" s="113"/>
      <c r="HH7" s="113"/>
      <c r="HI7" s="113"/>
      <c r="HJ7" s="113"/>
      <c r="HK7" s="113"/>
      <c r="HL7" s="113"/>
      <c r="HM7" s="113"/>
      <c r="HN7" s="113"/>
      <c r="HO7" s="113"/>
      <c r="HP7" s="113"/>
      <c r="HQ7" s="113"/>
      <c r="HR7" s="113"/>
      <c r="HS7" s="113"/>
      <c r="HT7" s="113"/>
      <c r="HU7" s="113"/>
      <c r="HV7" s="113"/>
      <c r="HW7" s="113"/>
      <c r="HX7" s="113"/>
      <c r="HY7" s="113"/>
      <c r="HZ7" s="113"/>
      <c r="IA7" s="113"/>
      <c r="IB7" s="113"/>
      <c r="IC7" s="113"/>
      <c r="ID7" s="113"/>
      <c r="IE7" s="113"/>
      <c r="IF7" s="113"/>
      <c r="IG7" s="113"/>
      <c r="IH7" s="113"/>
      <c r="II7" s="113"/>
      <c r="IJ7" s="113"/>
      <c r="IK7" s="113"/>
      <c r="IL7" s="113"/>
      <c r="IM7" s="113"/>
      <c r="IN7" s="113"/>
      <c r="IO7" s="113"/>
      <c r="IP7" s="113"/>
      <c r="IQ7" s="113"/>
      <c r="IR7" s="113"/>
    </row>
    <row r="8" spans="1:252" ht="13.5" thickBot="1">
      <c r="A8" s="170"/>
      <c r="B8" s="609"/>
      <c r="C8" s="610"/>
      <c r="D8" s="610"/>
      <c r="E8" s="610"/>
      <c r="F8" s="610"/>
      <c r="G8" s="610"/>
      <c r="H8" s="610"/>
      <c r="I8" s="610"/>
      <c r="J8" s="611"/>
      <c r="K8" s="224"/>
      <c r="L8" s="112"/>
      <c r="M8" s="112"/>
      <c r="N8" s="112"/>
      <c r="O8" s="112"/>
      <c r="P8" s="112"/>
      <c r="Q8" s="112"/>
      <c r="R8" s="112"/>
      <c r="S8" s="112"/>
      <c r="T8" s="112"/>
      <c r="U8" s="112"/>
      <c r="V8" s="112"/>
      <c r="W8" s="112"/>
      <c r="X8" s="112"/>
      <c r="Y8" s="112"/>
      <c r="Z8" s="112"/>
      <c r="AA8" s="112"/>
      <c r="AB8" s="112"/>
      <c r="AC8" s="112"/>
      <c r="AD8" s="112"/>
      <c r="AE8" s="112"/>
      <c r="AF8" s="112"/>
      <c r="AG8" s="112"/>
      <c r="AH8" s="112"/>
      <c r="AI8" s="112"/>
      <c r="AJ8" s="112"/>
      <c r="AK8" s="112"/>
      <c r="AL8" s="112"/>
      <c r="AM8" s="112"/>
      <c r="AN8" s="112"/>
      <c r="AO8" s="112"/>
      <c r="AP8" s="112"/>
      <c r="AQ8" s="112"/>
      <c r="AR8" s="112"/>
      <c r="AS8" s="112"/>
      <c r="AT8" s="112"/>
      <c r="AU8" s="112"/>
      <c r="AV8" s="112"/>
      <c r="AW8" s="112"/>
      <c r="AX8" s="112"/>
      <c r="AY8" s="112"/>
      <c r="AZ8" s="113"/>
      <c r="BA8" s="113"/>
      <c r="BB8" s="113"/>
      <c r="BC8" s="113"/>
      <c r="BD8" s="113"/>
      <c r="BE8" s="113"/>
      <c r="BF8" s="113"/>
      <c r="BG8" s="113"/>
      <c r="BH8" s="113"/>
      <c r="BI8" s="113"/>
      <c r="BJ8" s="113"/>
      <c r="BK8" s="113"/>
      <c r="BL8" s="113"/>
      <c r="BM8" s="113"/>
      <c r="BN8" s="113"/>
      <c r="BO8" s="113"/>
      <c r="BP8" s="113"/>
      <c r="BQ8" s="113"/>
      <c r="BR8" s="113"/>
      <c r="BS8" s="113"/>
      <c r="BT8" s="113"/>
      <c r="BU8" s="113"/>
      <c r="BV8" s="113"/>
      <c r="BW8" s="113"/>
      <c r="BX8" s="113"/>
      <c r="BY8" s="113"/>
      <c r="BZ8" s="113"/>
      <c r="CA8" s="113"/>
      <c r="CB8" s="113"/>
      <c r="CC8" s="113"/>
      <c r="CD8" s="113"/>
      <c r="CE8" s="113"/>
      <c r="CF8" s="113"/>
      <c r="CG8" s="113"/>
      <c r="CH8" s="113"/>
      <c r="CI8" s="113"/>
      <c r="CJ8" s="113"/>
      <c r="CK8" s="113"/>
      <c r="CL8" s="113"/>
      <c r="CM8" s="113"/>
      <c r="CN8" s="113"/>
      <c r="CO8" s="113"/>
      <c r="CP8" s="113"/>
      <c r="CQ8" s="113"/>
      <c r="CR8" s="113"/>
      <c r="CS8" s="113"/>
      <c r="CT8" s="113"/>
      <c r="CU8" s="113"/>
      <c r="CV8" s="113"/>
      <c r="CW8" s="113"/>
      <c r="CX8" s="113"/>
      <c r="CY8" s="113"/>
      <c r="CZ8" s="113"/>
      <c r="DA8" s="113"/>
      <c r="DB8" s="113"/>
      <c r="DC8" s="113"/>
      <c r="DD8" s="113"/>
      <c r="DE8" s="113"/>
      <c r="DF8" s="113"/>
      <c r="DG8" s="113"/>
      <c r="DH8" s="113"/>
      <c r="DI8" s="113"/>
      <c r="DJ8" s="113"/>
      <c r="DK8" s="113"/>
      <c r="DL8" s="113"/>
      <c r="DM8" s="113"/>
      <c r="DN8" s="113"/>
      <c r="DO8" s="113"/>
      <c r="DP8" s="113"/>
      <c r="DQ8" s="113"/>
      <c r="DR8" s="113"/>
      <c r="DS8" s="113"/>
      <c r="DT8" s="113"/>
      <c r="DU8" s="113"/>
      <c r="DV8" s="113"/>
      <c r="DW8" s="113"/>
      <c r="DX8" s="113"/>
      <c r="DY8" s="113"/>
      <c r="DZ8" s="113"/>
      <c r="EA8" s="113"/>
      <c r="EB8" s="113"/>
      <c r="EC8" s="113"/>
      <c r="ED8" s="113"/>
      <c r="EE8" s="113"/>
      <c r="EF8" s="113"/>
      <c r="EG8" s="113"/>
      <c r="EH8" s="113"/>
      <c r="EI8" s="113"/>
      <c r="EJ8" s="113"/>
      <c r="EK8" s="113"/>
      <c r="EL8" s="113"/>
      <c r="EM8" s="113"/>
      <c r="EN8" s="113"/>
      <c r="EO8" s="113"/>
      <c r="EP8" s="113"/>
      <c r="EQ8" s="113"/>
      <c r="ER8" s="113"/>
      <c r="ES8" s="113"/>
      <c r="ET8" s="113"/>
      <c r="EU8" s="113"/>
      <c r="EV8" s="113"/>
      <c r="EW8" s="113"/>
      <c r="EX8" s="113"/>
      <c r="EY8" s="113"/>
      <c r="EZ8" s="113"/>
      <c r="FA8" s="113"/>
      <c r="FB8" s="113"/>
      <c r="FC8" s="113"/>
      <c r="FD8" s="113"/>
      <c r="FE8" s="113"/>
      <c r="FF8" s="113"/>
      <c r="FG8" s="113"/>
      <c r="FH8" s="113"/>
      <c r="FI8" s="113"/>
      <c r="FJ8" s="113"/>
      <c r="FK8" s="113"/>
      <c r="FL8" s="113"/>
      <c r="FM8" s="113"/>
      <c r="FN8" s="113"/>
      <c r="FO8" s="113"/>
      <c r="FP8" s="113"/>
      <c r="FQ8" s="113"/>
      <c r="FR8" s="113"/>
      <c r="FS8" s="113"/>
      <c r="FT8" s="113"/>
      <c r="FU8" s="113"/>
      <c r="FV8" s="113"/>
      <c r="FW8" s="113"/>
      <c r="FX8" s="113"/>
      <c r="FY8" s="113"/>
      <c r="FZ8" s="113"/>
      <c r="GA8" s="113"/>
      <c r="GB8" s="113"/>
      <c r="GC8" s="113"/>
      <c r="GD8" s="113"/>
      <c r="GE8" s="113"/>
      <c r="GF8" s="113"/>
      <c r="GG8" s="113"/>
      <c r="GH8" s="113"/>
      <c r="GI8" s="113"/>
      <c r="GJ8" s="113"/>
      <c r="GK8" s="113"/>
      <c r="GL8" s="113"/>
      <c r="GM8" s="113"/>
      <c r="GN8" s="113"/>
      <c r="GO8" s="113"/>
      <c r="GP8" s="113"/>
      <c r="GQ8" s="113"/>
      <c r="GR8" s="113"/>
      <c r="GS8" s="113"/>
      <c r="GT8" s="113"/>
      <c r="GU8" s="113"/>
      <c r="GV8" s="113"/>
      <c r="GW8" s="113"/>
      <c r="GX8" s="113"/>
      <c r="GY8" s="113"/>
      <c r="GZ8" s="113"/>
      <c r="HA8" s="113"/>
      <c r="HB8" s="113"/>
      <c r="HC8" s="113"/>
      <c r="HD8" s="113"/>
      <c r="HE8" s="113"/>
      <c r="HF8" s="113"/>
      <c r="HG8" s="113"/>
      <c r="HH8" s="113"/>
      <c r="HI8" s="113"/>
      <c r="HJ8" s="113"/>
      <c r="HK8" s="113"/>
      <c r="HL8" s="113"/>
      <c r="HM8" s="113"/>
      <c r="HN8" s="113"/>
      <c r="HO8" s="113"/>
      <c r="HP8" s="113"/>
      <c r="HQ8" s="113"/>
      <c r="HR8" s="113"/>
      <c r="HS8" s="113"/>
      <c r="HT8" s="113"/>
      <c r="HU8" s="113"/>
      <c r="HV8" s="113"/>
      <c r="HW8" s="113"/>
      <c r="HX8" s="113"/>
      <c r="HY8" s="113"/>
      <c r="HZ8" s="113"/>
      <c r="IA8" s="113"/>
      <c r="IB8" s="113"/>
      <c r="IC8" s="113"/>
      <c r="ID8" s="113"/>
      <c r="IE8" s="113"/>
      <c r="IF8" s="113"/>
      <c r="IG8" s="113"/>
      <c r="IH8" s="113"/>
      <c r="II8" s="113"/>
      <c r="IJ8" s="113"/>
      <c r="IK8" s="113"/>
      <c r="IL8" s="113"/>
      <c r="IM8" s="113"/>
      <c r="IN8" s="113"/>
      <c r="IO8" s="113"/>
      <c r="IP8" s="113"/>
      <c r="IQ8" s="113"/>
      <c r="IR8" s="113"/>
    </row>
    <row r="9" spans="1:252" ht="13.5" thickBot="1">
      <c r="A9" s="170"/>
      <c r="B9" s="11"/>
      <c r="C9" s="11"/>
      <c r="D9" s="11"/>
      <c r="E9" s="11"/>
      <c r="F9" s="102"/>
      <c r="G9" s="102"/>
      <c r="H9" s="102"/>
      <c r="I9" s="11"/>
      <c r="J9" s="12"/>
      <c r="K9" s="224"/>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c r="AY9" s="112"/>
      <c r="AZ9" s="113"/>
      <c r="BA9" s="113"/>
      <c r="BB9" s="113"/>
      <c r="BC9" s="113"/>
      <c r="BD9" s="113"/>
      <c r="BE9" s="113"/>
      <c r="BF9" s="113"/>
      <c r="BG9" s="113"/>
      <c r="BH9" s="113"/>
      <c r="BI9" s="113"/>
      <c r="BJ9" s="113"/>
      <c r="BK9" s="113"/>
      <c r="BL9" s="113"/>
      <c r="BM9" s="113"/>
      <c r="BN9" s="113"/>
      <c r="BO9" s="113"/>
      <c r="BP9" s="113"/>
      <c r="BQ9" s="113"/>
      <c r="BR9" s="113"/>
      <c r="BS9" s="113"/>
      <c r="BT9" s="113"/>
      <c r="BU9" s="113"/>
      <c r="BV9" s="113"/>
      <c r="BW9" s="113"/>
      <c r="BX9" s="113"/>
      <c r="BY9" s="113"/>
      <c r="BZ9" s="113"/>
      <c r="CA9" s="113"/>
      <c r="CB9" s="113"/>
      <c r="CC9" s="113"/>
      <c r="CD9" s="113"/>
      <c r="CE9" s="113"/>
      <c r="CF9" s="113"/>
      <c r="CG9" s="113"/>
      <c r="CH9" s="113"/>
      <c r="CI9" s="113"/>
      <c r="CJ9" s="113"/>
      <c r="CK9" s="113"/>
      <c r="CL9" s="113"/>
      <c r="CM9" s="113"/>
      <c r="CN9" s="113"/>
      <c r="CO9" s="113"/>
      <c r="CP9" s="113"/>
      <c r="CQ9" s="113"/>
      <c r="CR9" s="113"/>
      <c r="CS9" s="113"/>
      <c r="CT9" s="113"/>
      <c r="CU9" s="113"/>
      <c r="CV9" s="113"/>
      <c r="CW9" s="113"/>
      <c r="CX9" s="113"/>
      <c r="CY9" s="113"/>
      <c r="CZ9" s="113"/>
      <c r="DA9" s="113"/>
      <c r="DB9" s="113"/>
      <c r="DC9" s="113"/>
      <c r="DD9" s="113"/>
      <c r="DE9" s="113"/>
      <c r="DF9" s="113"/>
      <c r="DG9" s="113"/>
      <c r="DH9" s="113"/>
      <c r="DI9" s="113"/>
      <c r="DJ9" s="113"/>
      <c r="DK9" s="113"/>
      <c r="DL9" s="113"/>
      <c r="DM9" s="113"/>
      <c r="DN9" s="113"/>
      <c r="DO9" s="113"/>
      <c r="DP9" s="113"/>
      <c r="DQ9" s="113"/>
      <c r="DR9" s="113"/>
      <c r="DS9" s="113"/>
      <c r="DT9" s="113"/>
      <c r="DU9" s="113"/>
      <c r="DV9" s="113"/>
      <c r="DW9" s="113"/>
      <c r="DX9" s="113"/>
      <c r="DY9" s="113"/>
      <c r="DZ9" s="113"/>
      <c r="EA9" s="113"/>
      <c r="EB9" s="113"/>
      <c r="EC9" s="113"/>
      <c r="ED9" s="113"/>
      <c r="EE9" s="113"/>
      <c r="EF9" s="113"/>
      <c r="EG9" s="113"/>
      <c r="EH9" s="113"/>
      <c r="EI9" s="113"/>
      <c r="EJ9" s="113"/>
      <c r="EK9" s="113"/>
      <c r="EL9" s="113"/>
      <c r="EM9" s="113"/>
      <c r="EN9" s="113"/>
      <c r="EO9" s="113"/>
      <c r="EP9" s="113"/>
      <c r="EQ9" s="113"/>
      <c r="ER9" s="113"/>
      <c r="ES9" s="113"/>
      <c r="ET9" s="113"/>
      <c r="EU9" s="113"/>
      <c r="EV9" s="113"/>
      <c r="EW9" s="113"/>
      <c r="EX9" s="113"/>
      <c r="EY9" s="113"/>
      <c r="EZ9" s="113"/>
      <c r="FA9" s="113"/>
      <c r="FB9" s="113"/>
      <c r="FC9" s="113"/>
      <c r="FD9" s="113"/>
      <c r="FE9" s="113"/>
      <c r="FF9" s="113"/>
      <c r="FG9" s="113"/>
      <c r="FH9" s="113"/>
      <c r="FI9" s="113"/>
      <c r="FJ9" s="113"/>
      <c r="FK9" s="113"/>
      <c r="FL9" s="113"/>
      <c r="FM9" s="113"/>
      <c r="FN9" s="113"/>
      <c r="FO9" s="113"/>
      <c r="FP9" s="113"/>
      <c r="FQ9" s="113"/>
      <c r="FR9" s="113"/>
      <c r="FS9" s="113"/>
      <c r="FT9" s="113"/>
      <c r="FU9" s="113"/>
      <c r="FV9" s="113"/>
      <c r="FW9" s="113"/>
      <c r="FX9" s="113"/>
      <c r="FY9" s="113"/>
      <c r="FZ9" s="113"/>
      <c r="GA9" s="113"/>
      <c r="GB9" s="113"/>
      <c r="GC9" s="113"/>
      <c r="GD9" s="113"/>
      <c r="GE9" s="113"/>
      <c r="GF9" s="113"/>
      <c r="GG9" s="113"/>
      <c r="GH9" s="113"/>
      <c r="GI9" s="113"/>
      <c r="GJ9" s="113"/>
      <c r="GK9" s="113"/>
      <c r="GL9" s="113"/>
      <c r="GM9" s="113"/>
      <c r="GN9" s="113"/>
      <c r="GO9" s="113"/>
      <c r="GP9" s="113"/>
      <c r="GQ9" s="113"/>
      <c r="GR9" s="113"/>
      <c r="GS9" s="113"/>
      <c r="GT9" s="113"/>
      <c r="GU9" s="113"/>
      <c r="GV9" s="113"/>
      <c r="GW9" s="113"/>
      <c r="GX9" s="113"/>
      <c r="GY9" s="113"/>
      <c r="GZ9" s="113"/>
      <c r="HA9" s="113"/>
      <c r="HB9" s="113"/>
      <c r="HC9" s="113"/>
      <c r="HD9" s="113"/>
      <c r="HE9" s="113"/>
      <c r="HF9" s="113"/>
      <c r="HG9" s="113"/>
      <c r="HH9" s="113"/>
      <c r="HI9" s="113"/>
      <c r="HJ9" s="113"/>
      <c r="HK9" s="113"/>
      <c r="HL9" s="113"/>
      <c r="HM9" s="113"/>
      <c r="HN9" s="113"/>
      <c r="HO9" s="113"/>
      <c r="HP9" s="113"/>
      <c r="HQ9" s="113"/>
      <c r="HR9" s="113"/>
      <c r="HS9" s="113"/>
      <c r="HT9" s="113"/>
      <c r="HU9" s="113"/>
      <c r="HV9" s="113"/>
      <c r="HW9" s="113"/>
      <c r="HX9" s="113"/>
      <c r="HY9" s="113"/>
      <c r="HZ9" s="113"/>
      <c r="IA9" s="113"/>
      <c r="IB9" s="113"/>
      <c r="IC9" s="113"/>
      <c r="ID9" s="113"/>
      <c r="IE9" s="113"/>
      <c r="IF9" s="113"/>
      <c r="IG9" s="113"/>
      <c r="IH9" s="113"/>
      <c r="II9" s="113"/>
      <c r="IJ9" s="113"/>
      <c r="IK9" s="113"/>
      <c r="IL9" s="113"/>
      <c r="IM9" s="113"/>
      <c r="IN9" s="113"/>
      <c r="IO9" s="113"/>
      <c r="IP9" s="113"/>
      <c r="IQ9" s="113"/>
      <c r="IR9" s="113"/>
    </row>
    <row r="10" spans="1:252" s="62" customFormat="1">
      <c r="A10" s="28"/>
      <c r="B10" s="1" t="s">
        <v>525</v>
      </c>
      <c r="C10" s="14"/>
      <c r="D10" s="14"/>
      <c r="E10" s="14"/>
      <c r="F10" s="103"/>
      <c r="G10" s="103"/>
      <c r="H10" s="103"/>
      <c r="I10" s="14"/>
      <c r="J10" s="32"/>
      <c r="K10" s="64"/>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row>
    <row r="11" spans="1:252" s="62" customFormat="1">
      <c r="A11" s="28"/>
      <c r="B11" s="4" t="s">
        <v>488</v>
      </c>
      <c r="C11" s="19"/>
      <c r="D11" s="19"/>
      <c r="E11" s="19"/>
      <c r="F11" s="104"/>
      <c r="G11" s="104"/>
      <c r="H11" s="104"/>
      <c r="I11" s="19"/>
      <c r="J11" s="33"/>
      <c r="K11" s="64"/>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row>
    <row r="12" spans="1:252" s="62" customFormat="1" ht="13.5" thickBot="1">
      <c r="A12" s="28"/>
      <c r="B12" s="7" t="s">
        <v>489</v>
      </c>
      <c r="C12" s="24"/>
      <c r="D12" s="24"/>
      <c r="E12" s="24"/>
      <c r="F12" s="105"/>
      <c r="G12" s="105"/>
      <c r="H12" s="105"/>
      <c r="I12" s="24"/>
      <c r="J12" s="34"/>
      <c r="K12" s="64"/>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row>
    <row r="13" spans="1:252" s="62" customFormat="1" ht="13.5" thickBot="1">
      <c r="A13" s="28"/>
      <c r="B13" s="19"/>
      <c r="C13" s="19"/>
      <c r="D13" s="19"/>
      <c r="E13" s="19"/>
      <c r="F13" s="104"/>
      <c r="G13" s="104"/>
      <c r="H13" s="104"/>
      <c r="I13" s="19"/>
      <c r="J13" s="19"/>
      <c r="K13" s="64"/>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row>
    <row r="14" spans="1:252" s="62" customFormat="1" ht="16.5" thickBot="1">
      <c r="A14" s="28"/>
      <c r="B14" s="669" t="s">
        <v>526</v>
      </c>
      <c r="C14" s="670"/>
      <c r="D14" s="670"/>
      <c r="E14" s="670"/>
      <c r="F14" s="670"/>
      <c r="G14" s="670"/>
      <c r="H14" s="670"/>
      <c r="I14" s="670"/>
      <c r="J14" s="671"/>
      <c r="K14" s="64"/>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row>
    <row r="15" spans="1:252" s="63" customFormat="1" ht="15">
      <c r="A15" s="28"/>
      <c r="B15" s="672" t="s">
        <v>7</v>
      </c>
      <c r="C15" s="672"/>
      <c r="D15" s="672"/>
      <c r="E15" s="672"/>
      <c r="F15" s="672"/>
      <c r="G15" s="672"/>
      <c r="H15" s="672"/>
      <c r="I15" s="672"/>
      <c r="J15" s="672"/>
      <c r="K15" s="64"/>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row>
    <row r="16" spans="1:252" s="64" customFormat="1" ht="15.75" thickBot="1">
      <c r="A16" s="28"/>
      <c r="B16" s="672" t="s">
        <v>8</v>
      </c>
      <c r="C16" s="672"/>
      <c r="D16" s="672"/>
      <c r="E16" s="672"/>
      <c r="F16" s="672"/>
      <c r="G16" s="672"/>
      <c r="H16" s="672"/>
      <c r="I16" s="672"/>
      <c r="J16" s="672"/>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row>
    <row r="17" spans="1:51" ht="13.5" thickBot="1">
      <c r="A17" s="22"/>
      <c r="B17" s="65" t="s">
        <v>527</v>
      </c>
      <c r="C17" s="66" t="s">
        <v>528</v>
      </c>
      <c r="D17" s="66" t="s">
        <v>529</v>
      </c>
      <c r="E17" s="66" t="s">
        <v>530</v>
      </c>
      <c r="F17" s="106" t="s">
        <v>531</v>
      </c>
      <c r="G17" s="106" t="s">
        <v>21</v>
      </c>
      <c r="H17" s="106" t="s">
        <v>532</v>
      </c>
      <c r="I17" s="66" t="s">
        <v>533</v>
      </c>
      <c r="J17" s="67" t="s">
        <v>534</v>
      </c>
    </row>
    <row r="18" spans="1:51">
      <c r="A18" s="22"/>
      <c r="B18" s="114"/>
      <c r="C18" s="115"/>
      <c r="D18" s="115"/>
      <c r="E18" s="115"/>
      <c r="F18" s="116"/>
      <c r="G18" s="116"/>
      <c r="H18" s="116"/>
      <c r="I18" s="115"/>
      <c r="J18" s="117"/>
    </row>
    <row r="19" spans="1:51" ht="15">
      <c r="A19" s="22"/>
      <c r="B19" s="118">
        <v>1</v>
      </c>
      <c r="C19" s="119" t="s">
        <v>22</v>
      </c>
      <c r="D19" s="119"/>
      <c r="E19" s="119"/>
      <c r="F19" s="107"/>
      <c r="G19" s="107"/>
      <c r="H19" s="107"/>
      <c r="I19" s="119"/>
      <c r="J19" s="120"/>
    </row>
    <row r="20" spans="1:51" ht="15">
      <c r="A20" s="22"/>
      <c r="B20" s="175" t="s">
        <v>535</v>
      </c>
      <c r="C20" s="282" t="s">
        <v>1064</v>
      </c>
      <c r="D20" s="172" t="s">
        <v>536</v>
      </c>
      <c r="E20" s="172"/>
      <c r="F20" s="101"/>
      <c r="G20" s="101"/>
      <c r="H20" s="101"/>
      <c r="I20" s="178" t="s">
        <v>537</v>
      </c>
      <c r="J20" s="121">
        <f>(15*4*6)/220</f>
        <v>1.6363636363636365</v>
      </c>
    </row>
    <row r="21" spans="1:51" ht="15">
      <c r="A21" s="22"/>
      <c r="B21" s="175" t="s">
        <v>538</v>
      </c>
      <c r="C21" s="282" t="s">
        <v>1065</v>
      </c>
      <c r="D21" s="172" t="s">
        <v>536</v>
      </c>
      <c r="E21" s="172">
        <v>6</v>
      </c>
      <c r="F21" s="101"/>
      <c r="G21" s="101"/>
      <c r="H21" s="101"/>
      <c r="I21" s="176"/>
      <c r="J21" s="121">
        <v>6</v>
      </c>
    </row>
    <row r="22" spans="1:51" ht="15">
      <c r="A22" s="22"/>
      <c r="B22" s="175" t="s">
        <v>539</v>
      </c>
      <c r="C22" s="282" t="s">
        <v>1066</v>
      </c>
      <c r="D22" s="172" t="s">
        <v>536</v>
      </c>
      <c r="E22" s="172">
        <v>6</v>
      </c>
      <c r="F22" s="101"/>
      <c r="G22" s="101"/>
      <c r="H22" s="101"/>
      <c r="I22" s="176"/>
      <c r="J22" s="121">
        <v>6</v>
      </c>
    </row>
    <row r="23" spans="1:51" ht="15">
      <c r="A23" s="22"/>
      <c r="B23" s="175"/>
      <c r="C23" s="176"/>
      <c r="D23" s="172"/>
      <c r="E23" s="172"/>
      <c r="F23" s="101"/>
      <c r="G23" s="101"/>
      <c r="H23" s="101"/>
      <c r="I23" s="176"/>
      <c r="J23" s="121"/>
    </row>
    <row r="24" spans="1:51" ht="15">
      <c r="A24" s="22"/>
      <c r="B24" s="118">
        <v>2</v>
      </c>
      <c r="C24" s="119" t="s">
        <v>540</v>
      </c>
      <c r="D24" s="119"/>
      <c r="E24" s="119"/>
      <c r="F24" s="107"/>
      <c r="G24" s="107"/>
      <c r="H24" s="107"/>
      <c r="I24" s="119"/>
      <c r="J24" s="120"/>
    </row>
    <row r="25" spans="1:51" ht="15">
      <c r="A25" s="22"/>
      <c r="B25" s="175" t="s">
        <v>541</v>
      </c>
      <c r="C25" s="176" t="s">
        <v>542</v>
      </c>
      <c r="D25" s="172" t="s">
        <v>543</v>
      </c>
      <c r="E25" s="172">
        <v>1</v>
      </c>
      <c r="F25" s="101">
        <v>3.2</v>
      </c>
      <c r="G25" s="101">
        <v>2</v>
      </c>
      <c r="H25" s="101"/>
      <c r="I25" s="176"/>
      <c r="J25" s="121">
        <f>E25*F25*G25</f>
        <v>6.4</v>
      </c>
    </row>
    <row r="26" spans="1:51" s="171" customFormat="1" ht="15">
      <c r="A26" s="22"/>
      <c r="B26" s="175"/>
      <c r="C26" s="176"/>
      <c r="D26" s="172"/>
      <c r="E26" s="172"/>
      <c r="F26" s="101"/>
      <c r="G26" s="101"/>
      <c r="H26" s="101"/>
      <c r="I26" s="176"/>
      <c r="J26" s="121"/>
      <c r="K26" s="168"/>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70"/>
      <c r="AV26" s="170"/>
      <c r="AW26" s="170"/>
      <c r="AX26" s="170"/>
      <c r="AY26" s="170"/>
    </row>
    <row r="27" spans="1:51" ht="15">
      <c r="A27" s="22"/>
      <c r="B27" s="175" t="s">
        <v>544</v>
      </c>
      <c r="C27" s="176" t="s">
        <v>545</v>
      </c>
      <c r="D27" s="172" t="s">
        <v>543</v>
      </c>
      <c r="E27" s="172"/>
      <c r="F27" s="101"/>
      <c r="G27" s="101"/>
      <c r="H27" s="101"/>
      <c r="I27" s="176"/>
      <c r="J27" s="121">
        <f>SUM(J28:J29)</f>
        <v>365.39160000000004</v>
      </c>
    </row>
    <row r="28" spans="1:51" s="171" customFormat="1" ht="15">
      <c r="A28" s="22"/>
      <c r="B28" s="175"/>
      <c r="C28" s="176"/>
      <c r="D28" s="172"/>
      <c r="E28" s="172">
        <v>1</v>
      </c>
      <c r="F28" s="101">
        <v>16.760000000000002</v>
      </c>
      <c r="G28" s="101">
        <v>19.71</v>
      </c>
      <c r="H28" s="101"/>
      <c r="I28" s="176"/>
      <c r="J28" s="121">
        <f>E28*F28*G28</f>
        <v>330.33960000000002</v>
      </c>
      <c r="K28" s="168"/>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70"/>
      <c r="AV28" s="170"/>
      <c r="AW28" s="170"/>
      <c r="AX28" s="170"/>
      <c r="AY28" s="170"/>
    </row>
    <row r="29" spans="1:51" s="171" customFormat="1" ht="15">
      <c r="A29" s="22"/>
      <c r="B29" s="175"/>
      <c r="C29" s="176"/>
      <c r="D29" s="172"/>
      <c r="E29" s="172">
        <v>1</v>
      </c>
      <c r="F29" s="101">
        <v>5.52</v>
      </c>
      <c r="G29" s="101">
        <v>6.35</v>
      </c>
      <c r="H29" s="101"/>
      <c r="I29" s="176"/>
      <c r="J29" s="121">
        <f>E29*F29*G29</f>
        <v>35.051999999999992</v>
      </c>
      <c r="K29" s="168"/>
      <c r="L29" s="170"/>
      <c r="M29" s="170"/>
      <c r="N29" s="170"/>
      <c r="O29" s="170"/>
      <c r="P29" s="170"/>
      <c r="Q29" s="170"/>
      <c r="R29" s="170"/>
      <c r="S29" s="170"/>
      <c r="T29" s="170"/>
      <c r="U29" s="170"/>
      <c r="V29" s="170"/>
      <c r="W29" s="170"/>
      <c r="X29" s="170"/>
      <c r="Y29" s="170"/>
      <c r="Z29" s="170"/>
      <c r="AA29" s="170"/>
      <c r="AB29" s="170"/>
      <c r="AC29" s="170"/>
      <c r="AD29" s="170"/>
      <c r="AE29" s="170"/>
      <c r="AF29" s="170"/>
      <c r="AG29" s="170"/>
      <c r="AH29" s="170"/>
      <c r="AI29" s="170"/>
      <c r="AJ29" s="170"/>
      <c r="AK29" s="170"/>
      <c r="AL29" s="170"/>
      <c r="AM29" s="170"/>
      <c r="AN29" s="170"/>
      <c r="AO29" s="170"/>
      <c r="AP29" s="170"/>
      <c r="AQ29" s="170"/>
      <c r="AR29" s="170"/>
      <c r="AS29" s="170"/>
      <c r="AT29" s="170"/>
      <c r="AU29" s="170"/>
      <c r="AV29" s="170"/>
      <c r="AW29" s="170"/>
      <c r="AX29" s="170"/>
      <c r="AY29" s="170"/>
    </row>
    <row r="30" spans="1:51" s="171" customFormat="1" ht="15">
      <c r="A30" s="22"/>
      <c r="B30" s="175"/>
      <c r="C30" s="176"/>
      <c r="D30" s="172"/>
      <c r="E30" s="172"/>
      <c r="F30" s="101"/>
      <c r="G30" s="101"/>
      <c r="H30" s="101"/>
      <c r="I30" s="176"/>
      <c r="J30" s="121"/>
      <c r="K30" s="168"/>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70"/>
      <c r="AV30" s="170"/>
      <c r="AW30" s="170"/>
      <c r="AX30" s="170"/>
      <c r="AY30" s="170"/>
    </row>
    <row r="31" spans="1:51" ht="15">
      <c r="A31" s="22"/>
      <c r="B31" s="175" t="s">
        <v>546</v>
      </c>
      <c r="C31" s="176" t="s">
        <v>547</v>
      </c>
      <c r="D31" s="172" t="s">
        <v>23</v>
      </c>
      <c r="E31" s="172">
        <v>1</v>
      </c>
      <c r="F31" s="101"/>
      <c r="G31" s="101"/>
      <c r="H31" s="101"/>
      <c r="I31" s="176"/>
      <c r="J31" s="121">
        <f>E31</f>
        <v>1</v>
      </c>
    </row>
    <row r="32" spans="1:51" s="171" customFormat="1" ht="15">
      <c r="A32" s="22"/>
      <c r="B32" s="175"/>
      <c r="C32" s="176"/>
      <c r="D32" s="172"/>
      <c r="E32" s="172"/>
      <c r="F32" s="101"/>
      <c r="G32" s="101"/>
      <c r="H32" s="101"/>
      <c r="I32" s="176"/>
      <c r="J32" s="121"/>
      <c r="K32" s="168"/>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70"/>
      <c r="AV32" s="170"/>
      <c r="AW32" s="170"/>
      <c r="AX32" s="170"/>
      <c r="AY32" s="170"/>
    </row>
    <row r="33" spans="1:51" ht="15">
      <c r="A33" s="22"/>
      <c r="B33" s="175" t="s">
        <v>548</v>
      </c>
      <c r="C33" s="176" t="s">
        <v>549</v>
      </c>
      <c r="D33" s="172" t="s">
        <v>23</v>
      </c>
      <c r="E33" s="172">
        <v>1</v>
      </c>
      <c r="F33" s="101"/>
      <c r="G33" s="101"/>
      <c r="H33" s="101"/>
      <c r="I33" s="176"/>
      <c r="J33" s="121">
        <f>E33</f>
        <v>1</v>
      </c>
    </row>
    <row r="34" spans="1:51" s="171" customFormat="1" ht="15">
      <c r="A34" s="22"/>
      <c r="B34" s="175"/>
      <c r="C34" s="176"/>
      <c r="D34" s="172"/>
      <c r="E34" s="172"/>
      <c r="F34" s="101"/>
      <c r="G34" s="101"/>
      <c r="H34" s="101"/>
      <c r="I34" s="176"/>
      <c r="J34" s="121"/>
      <c r="K34" s="168"/>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70"/>
      <c r="AV34" s="170"/>
      <c r="AW34" s="170"/>
      <c r="AX34" s="170"/>
      <c r="AY34" s="170"/>
    </row>
    <row r="35" spans="1:51" ht="15">
      <c r="A35" s="22"/>
      <c r="B35" s="175" t="s">
        <v>550</v>
      </c>
      <c r="C35" s="176" t="s">
        <v>551</v>
      </c>
      <c r="D35" s="172" t="s">
        <v>543</v>
      </c>
      <c r="E35" s="172">
        <v>1</v>
      </c>
      <c r="F35" s="101"/>
      <c r="G35" s="101">
        <v>40</v>
      </c>
      <c r="H35" s="101">
        <v>2</v>
      </c>
      <c r="I35" s="176"/>
      <c r="J35" s="121">
        <f>E35*G35*H35</f>
        <v>80</v>
      </c>
    </row>
    <row r="36" spans="1:51" s="171" customFormat="1" ht="15">
      <c r="A36" s="22"/>
      <c r="B36" s="175"/>
      <c r="C36" s="176"/>
      <c r="D36" s="172"/>
      <c r="E36" s="172"/>
      <c r="F36" s="101"/>
      <c r="G36" s="101"/>
      <c r="H36" s="101"/>
      <c r="I36" s="176"/>
      <c r="J36" s="121"/>
      <c r="K36" s="168"/>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70"/>
      <c r="AV36" s="170"/>
      <c r="AW36" s="170"/>
      <c r="AX36" s="170"/>
      <c r="AY36" s="170"/>
    </row>
    <row r="37" spans="1:51" s="171" customFormat="1" ht="15">
      <c r="A37" s="22"/>
      <c r="B37" s="175" t="s">
        <v>1154</v>
      </c>
      <c r="C37" s="176" t="s">
        <v>905</v>
      </c>
      <c r="D37" s="172" t="s">
        <v>1156</v>
      </c>
      <c r="E37" s="172"/>
      <c r="F37" s="101"/>
      <c r="G37" s="101"/>
      <c r="H37" s="101"/>
      <c r="I37" s="176"/>
      <c r="J37" s="121">
        <f>SUM(J38:J39)</f>
        <v>4.2479999999999993</v>
      </c>
      <c r="K37" s="168"/>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70"/>
      <c r="AV37" s="170"/>
      <c r="AW37" s="170"/>
      <c r="AX37" s="170"/>
      <c r="AY37" s="170"/>
    </row>
    <row r="38" spans="1:51" s="171" customFormat="1" ht="15">
      <c r="A38" s="22"/>
      <c r="B38" s="175"/>
      <c r="C38" s="176" t="s">
        <v>1155</v>
      </c>
      <c r="D38" s="172"/>
      <c r="E38" s="172">
        <v>2</v>
      </c>
      <c r="F38" s="101">
        <f>0.15+(2*0.05)</f>
        <v>0.25</v>
      </c>
      <c r="G38" s="101">
        <f>9.1+6.55+4.47</f>
        <v>20.119999999999997</v>
      </c>
      <c r="H38" s="101">
        <v>0.3</v>
      </c>
      <c r="I38" s="176"/>
      <c r="J38" s="121">
        <f>E38*F38*G38*H38</f>
        <v>3.0179999999999993</v>
      </c>
      <c r="K38" s="168"/>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70"/>
      <c r="AV38" s="170"/>
      <c r="AW38" s="170"/>
      <c r="AX38" s="170"/>
      <c r="AY38" s="170"/>
    </row>
    <row r="39" spans="1:51" s="171" customFormat="1" ht="15">
      <c r="A39" s="22"/>
      <c r="B39" s="175"/>
      <c r="C39" s="176"/>
      <c r="D39" s="172"/>
      <c r="E39" s="172">
        <v>1</v>
      </c>
      <c r="F39" s="101">
        <f t="shared" ref="F39" si="0">0.15+(2*0.05)</f>
        <v>0.25</v>
      </c>
      <c r="G39" s="101">
        <f>7+9.4</f>
        <v>16.399999999999999</v>
      </c>
      <c r="H39" s="101">
        <v>0.3</v>
      </c>
      <c r="I39" s="176"/>
      <c r="J39" s="121">
        <f>E39*F39*G39*H39</f>
        <v>1.2299999999999998</v>
      </c>
      <c r="K39" s="168"/>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70"/>
      <c r="AV39" s="170"/>
      <c r="AW39" s="170"/>
      <c r="AX39" s="170"/>
      <c r="AY39" s="170"/>
    </row>
    <row r="40" spans="1:51" s="171" customFormat="1" ht="15">
      <c r="A40" s="22"/>
      <c r="B40" s="175"/>
      <c r="C40" s="176"/>
      <c r="D40" s="172"/>
      <c r="E40" s="172"/>
      <c r="F40" s="101"/>
      <c r="G40" s="101"/>
      <c r="H40" s="101"/>
      <c r="I40" s="176"/>
      <c r="J40" s="121"/>
      <c r="K40" s="168"/>
      <c r="L40" s="170"/>
      <c r="M40" s="170"/>
      <c r="N40" s="170"/>
      <c r="O40" s="170"/>
      <c r="P40" s="170"/>
      <c r="Q40" s="170"/>
      <c r="R40" s="170"/>
      <c r="S40" s="170"/>
      <c r="T40" s="170"/>
      <c r="U40" s="170"/>
      <c r="V40" s="170"/>
      <c r="W40" s="170"/>
      <c r="X40" s="170"/>
      <c r="Y40" s="170"/>
      <c r="Z40" s="170"/>
      <c r="AA40" s="170"/>
      <c r="AB40" s="170"/>
      <c r="AC40" s="170"/>
      <c r="AD40" s="170"/>
      <c r="AE40" s="170"/>
      <c r="AF40" s="170"/>
      <c r="AG40" s="170"/>
      <c r="AH40" s="170"/>
      <c r="AI40" s="170"/>
      <c r="AJ40" s="170"/>
      <c r="AK40" s="170"/>
      <c r="AL40" s="170"/>
      <c r="AM40" s="170"/>
      <c r="AN40" s="170"/>
      <c r="AO40" s="170"/>
      <c r="AP40" s="170"/>
      <c r="AQ40" s="170"/>
      <c r="AR40" s="170"/>
      <c r="AS40" s="170"/>
      <c r="AT40" s="170"/>
      <c r="AU40" s="170"/>
      <c r="AV40" s="170"/>
      <c r="AW40" s="170"/>
      <c r="AX40" s="170"/>
      <c r="AY40" s="170"/>
    </row>
    <row r="41" spans="1:51" ht="15">
      <c r="A41" s="22"/>
      <c r="B41" s="122"/>
      <c r="C41" s="123"/>
      <c r="D41" s="123"/>
      <c r="E41" s="123"/>
      <c r="F41" s="124"/>
      <c r="G41" s="124"/>
      <c r="H41" s="124"/>
      <c r="I41" s="123"/>
      <c r="J41" s="121"/>
    </row>
    <row r="42" spans="1:51" ht="15">
      <c r="A42" s="170"/>
      <c r="B42" s="118">
        <v>3</v>
      </c>
      <c r="C42" s="71" t="s">
        <v>552</v>
      </c>
      <c r="D42" s="71"/>
      <c r="E42" s="71"/>
      <c r="F42" s="107"/>
      <c r="G42" s="107"/>
      <c r="H42" s="107"/>
      <c r="I42" s="71"/>
      <c r="J42" s="120"/>
    </row>
    <row r="43" spans="1:51" ht="15">
      <c r="A43" s="170"/>
      <c r="B43" s="125" t="s">
        <v>553</v>
      </c>
      <c r="C43" s="72" t="s">
        <v>554</v>
      </c>
      <c r="D43" s="73"/>
      <c r="E43" s="73"/>
      <c r="F43" s="109"/>
      <c r="G43" s="109"/>
      <c r="H43" s="109"/>
      <c r="I43" s="72"/>
      <c r="J43" s="126"/>
    </row>
    <row r="44" spans="1:51" ht="15">
      <c r="B44" s="175" t="s">
        <v>555</v>
      </c>
      <c r="C44" s="176" t="s">
        <v>556</v>
      </c>
      <c r="D44" s="172" t="s">
        <v>557</v>
      </c>
      <c r="E44" s="172"/>
      <c r="F44" s="101"/>
      <c r="G44" s="101"/>
      <c r="H44" s="101"/>
      <c r="I44" s="123"/>
      <c r="J44" s="161">
        <f>SUM(J45+J52)</f>
        <v>39.450000000000003</v>
      </c>
      <c r="K44" s="225"/>
    </row>
    <row r="45" spans="1:51" s="292" customFormat="1" ht="15">
      <c r="A45" s="287"/>
      <c r="B45" s="122"/>
      <c r="C45" s="288" t="s">
        <v>558</v>
      </c>
      <c r="D45" s="289"/>
      <c r="E45" s="289"/>
      <c r="F45" s="290"/>
      <c r="G45" s="290"/>
      <c r="H45" s="290"/>
      <c r="I45" s="123"/>
      <c r="J45" s="161">
        <f>SUM(J46:J51)</f>
        <v>26.43</v>
      </c>
      <c r="K45" s="293"/>
      <c r="L45" s="287"/>
      <c r="M45" s="287"/>
      <c r="N45" s="287"/>
      <c r="O45" s="287"/>
      <c r="P45" s="287"/>
      <c r="Q45" s="287"/>
      <c r="R45" s="287"/>
      <c r="S45" s="287"/>
      <c r="T45" s="287"/>
      <c r="U45" s="287"/>
      <c r="V45" s="287"/>
      <c r="W45" s="287"/>
      <c r="X45" s="287"/>
      <c r="Y45" s="287"/>
      <c r="Z45" s="287"/>
      <c r="AA45" s="287"/>
      <c r="AB45" s="287"/>
      <c r="AC45" s="287"/>
      <c r="AD45" s="287"/>
      <c r="AE45" s="287"/>
      <c r="AF45" s="287"/>
      <c r="AG45" s="287"/>
      <c r="AH45" s="287"/>
      <c r="AI45" s="287"/>
      <c r="AJ45" s="287"/>
      <c r="AK45" s="287"/>
      <c r="AL45" s="287"/>
      <c r="AM45" s="287"/>
      <c r="AN45" s="287"/>
      <c r="AO45" s="287"/>
      <c r="AP45" s="287"/>
      <c r="AQ45" s="287"/>
      <c r="AR45" s="287"/>
      <c r="AS45" s="287"/>
      <c r="AT45" s="287"/>
      <c r="AU45" s="287"/>
      <c r="AV45" s="287"/>
      <c r="AW45" s="287"/>
      <c r="AX45" s="287"/>
      <c r="AY45" s="287"/>
    </row>
    <row r="46" spans="1:51" ht="15">
      <c r="B46" s="175"/>
      <c r="C46" s="180" t="s">
        <v>559</v>
      </c>
      <c r="D46" s="172"/>
      <c r="E46" s="172">
        <v>6</v>
      </c>
      <c r="F46" s="101">
        <v>1</v>
      </c>
      <c r="G46" s="101"/>
      <c r="H46" s="101">
        <v>0.55000000000000004</v>
      </c>
      <c r="I46" s="176" t="s">
        <v>560</v>
      </c>
      <c r="J46" s="121">
        <f>TRUNC(((PI()*F46^2)/4)*H46*E46,2)</f>
        <v>2.59</v>
      </c>
      <c r="K46" s="223"/>
    </row>
    <row r="47" spans="1:51" ht="15">
      <c r="B47" s="175"/>
      <c r="C47" s="180" t="s">
        <v>561</v>
      </c>
      <c r="D47" s="172"/>
      <c r="E47" s="172">
        <v>5</v>
      </c>
      <c r="F47" s="101">
        <v>1.2</v>
      </c>
      <c r="G47" s="101"/>
      <c r="H47" s="101">
        <v>0.65</v>
      </c>
      <c r="I47" s="176" t="s">
        <v>560</v>
      </c>
      <c r="J47" s="121">
        <f t="shared" ref="J47:J48" si="1">TRUNC(((PI()*F47^2)/4)*H47*E47,2)</f>
        <v>3.67</v>
      </c>
      <c r="K47" s="223"/>
    </row>
    <row r="48" spans="1:51" ht="15">
      <c r="B48" s="175"/>
      <c r="C48" s="180" t="s">
        <v>562</v>
      </c>
      <c r="D48" s="172"/>
      <c r="E48" s="172">
        <v>2</v>
      </c>
      <c r="F48" s="101">
        <v>1.5</v>
      </c>
      <c r="G48" s="101"/>
      <c r="H48" s="101">
        <v>0.8</v>
      </c>
      <c r="I48" s="176" t="s">
        <v>560</v>
      </c>
      <c r="J48" s="121">
        <f t="shared" si="1"/>
        <v>2.82</v>
      </c>
      <c r="K48" s="223"/>
    </row>
    <row r="49" spans="1:51" ht="15">
      <c r="B49" s="175"/>
      <c r="C49" s="180" t="s">
        <v>563</v>
      </c>
      <c r="D49" s="172"/>
      <c r="E49" s="172">
        <v>1</v>
      </c>
      <c r="F49" s="101">
        <f>1.8+(2*0.3)</f>
        <v>2.4</v>
      </c>
      <c r="G49" s="101">
        <f>1.8+(2*0.3)</f>
        <v>2.4</v>
      </c>
      <c r="H49" s="101">
        <v>0.85</v>
      </c>
      <c r="I49" s="176" t="s">
        <v>564</v>
      </c>
      <c r="J49" s="121">
        <f>TRUNC(E49*F49*G49*H49,2)</f>
        <v>4.8899999999999997</v>
      </c>
      <c r="K49" s="223"/>
    </row>
    <row r="50" spans="1:51" ht="15">
      <c r="B50" s="175"/>
      <c r="C50" s="180" t="s">
        <v>565</v>
      </c>
      <c r="D50" s="172"/>
      <c r="E50" s="172">
        <v>1</v>
      </c>
      <c r="F50" s="101">
        <f>1.6+(2*0.3)</f>
        <v>2.2000000000000002</v>
      </c>
      <c r="G50" s="101">
        <f>1.6+(2*0.3)</f>
        <v>2.2000000000000002</v>
      </c>
      <c r="H50" s="101">
        <v>0.75</v>
      </c>
      <c r="I50" s="176" t="s">
        <v>564</v>
      </c>
      <c r="J50" s="121">
        <f t="shared" ref="J50:J56" si="2">TRUNC(E50*F50*G50*H50,2)</f>
        <v>3.63</v>
      </c>
      <c r="K50" s="223"/>
    </row>
    <row r="51" spans="1:51" ht="15">
      <c r="B51" s="175"/>
      <c r="C51" s="180" t="s">
        <v>566</v>
      </c>
      <c r="D51" s="172"/>
      <c r="E51" s="172">
        <v>1</v>
      </c>
      <c r="F51" s="101">
        <f>2.3+(2*0.3)</f>
        <v>2.9</v>
      </c>
      <c r="G51" s="101">
        <f>2.3+(2*0.3)</f>
        <v>2.9</v>
      </c>
      <c r="H51" s="101">
        <v>1.05</v>
      </c>
      <c r="I51" s="176" t="s">
        <v>564</v>
      </c>
      <c r="J51" s="121">
        <f t="shared" si="2"/>
        <v>8.83</v>
      </c>
      <c r="K51" s="223"/>
    </row>
    <row r="52" spans="1:51" s="292" customFormat="1" ht="15">
      <c r="A52" s="287"/>
      <c r="B52" s="122"/>
      <c r="C52" s="288" t="s">
        <v>567</v>
      </c>
      <c r="D52" s="289"/>
      <c r="E52" s="289"/>
      <c r="F52" s="290"/>
      <c r="G52" s="290"/>
      <c r="H52" s="290"/>
      <c r="I52" s="123"/>
      <c r="J52" s="161">
        <f>SUM(J53:J56)</f>
        <v>13.02</v>
      </c>
      <c r="K52" s="293"/>
      <c r="L52" s="287"/>
      <c r="M52" s="287"/>
      <c r="N52" s="287"/>
      <c r="O52" s="287"/>
      <c r="P52" s="287"/>
      <c r="Q52" s="287"/>
      <c r="R52" s="287"/>
      <c r="S52" s="287"/>
      <c r="T52" s="287"/>
      <c r="U52" s="287"/>
      <c r="V52" s="287"/>
      <c r="W52" s="287"/>
      <c r="X52" s="287"/>
      <c r="Y52" s="287"/>
      <c r="Z52" s="287"/>
      <c r="AA52" s="287"/>
      <c r="AB52" s="287"/>
      <c r="AC52" s="287"/>
      <c r="AD52" s="287"/>
      <c r="AE52" s="287"/>
      <c r="AF52" s="287"/>
      <c r="AG52" s="287"/>
      <c r="AH52" s="287"/>
      <c r="AI52" s="287"/>
      <c r="AJ52" s="287"/>
      <c r="AK52" s="287"/>
      <c r="AL52" s="287"/>
      <c r="AM52" s="287"/>
      <c r="AN52" s="287"/>
      <c r="AO52" s="287"/>
      <c r="AP52" s="287"/>
      <c r="AQ52" s="287"/>
      <c r="AR52" s="287"/>
      <c r="AS52" s="287"/>
      <c r="AT52" s="287"/>
      <c r="AU52" s="287"/>
      <c r="AV52" s="287"/>
      <c r="AW52" s="287"/>
      <c r="AX52" s="287"/>
      <c r="AY52" s="287"/>
    </row>
    <row r="53" spans="1:51" ht="15">
      <c r="B53" s="175"/>
      <c r="C53" s="180" t="s">
        <v>568</v>
      </c>
      <c r="D53" s="172"/>
      <c r="E53" s="172">
        <v>3</v>
      </c>
      <c r="F53" s="101">
        <f>0.15+(2*0.05)</f>
        <v>0.25</v>
      </c>
      <c r="G53" s="101">
        <f>9.1+6.55+4.47</f>
        <v>20.119999999999997</v>
      </c>
      <c r="H53" s="101">
        <v>0.35</v>
      </c>
      <c r="I53" s="176" t="s">
        <v>1146</v>
      </c>
      <c r="J53" s="121">
        <f t="shared" si="2"/>
        <v>5.28</v>
      </c>
      <c r="K53" s="223"/>
    </row>
    <row r="54" spans="1:51" ht="15">
      <c r="B54" s="175"/>
      <c r="C54" s="180" t="s">
        <v>569</v>
      </c>
      <c r="D54" s="172"/>
      <c r="E54" s="172">
        <v>4</v>
      </c>
      <c r="F54" s="101">
        <f t="shared" ref="F54:F56" si="3">0.15+(2*0.05)</f>
        <v>0.25</v>
      </c>
      <c r="G54" s="101">
        <f>7+9.4</f>
        <v>16.399999999999999</v>
      </c>
      <c r="H54" s="101">
        <v>0.35</v>
      </c>
      <c r="I54" s="176" t="s">
        <v>1146</v>
      </c>
      <c r="J54" s="121">
        <f t="shared" si="2"/>
        <v>5.74</v>
      </c>
      <c r="K54" s="223"/>
    </row>
    <row r="55" spans="1:51" ht="15">
      <c r="B55" s="175"/>
      <c r="C55" s="180" t="s">
        <v>570</v>
      </c>
      <c r="D55" s="172"/>
      <c r="E55" s="172">
        <v>2</v>
      </c>
      <c r="F55" s="101">
        <f t="shared" si="3"/>
        <v>0.25</v>
      </c>
      <c r="G55" s="101">
        <f>5.279</f>
        <v>5.2789999999999999</v>
      </c>
      <c r="H55" s="101">
        <v>0.35</v>
      </c>
      <c r="I55" s="176" t="s">
        <v>1146</v>
      </c>
      <c r="J55" s="121">
        <f t="shared" si="2"/>
        <v>0.92</v>
      </c>
      <c r="K55" s="223"/>
    </row>
    <row r="56" spans="1:51" ht="15">
      <c r="B56" s="175"/>
      <c r="C56" s="180" t="s">
        <v>571</v>
      </c>
      <c r="D56" s="172"/>
      <c r="E56" s="172">
        <v>2</v>
      </c>
      <c r="F56" s="101">
        <f t="shared" si="3"/>
        <v>0.25</v>
      </c>
      <c r="G56" s="101">
        <v>6.1849999999999996</v>
      </c>
      <c r="H56" s="101">
        <v>0.35</v>
      </c>
      <c r="I56" s="176" t="s">
        <v>1146</v>
      </c>
      <c r="J56" s="121">
        <f t="shared" si="2"/>
        <v>1.08</v>
      </c>
      <c r="K56" s="223"/>
    </row>
    <row r="57" spans="1:51" s="171" customFormat="1" ht="15">
      <c r="A57" s="170"/>
      <c r="B57" s="175"/>
      <c r="C57" s="180"/>
      <c r="D57" s="172"/>
      <c r="E57" s="172"/>
      <c r="F57" s="101"/>
      <c r="G57" s="101"/>
      <c r="H57" s="101"/>
      <c r="I57" s="176"/>
      <c r="J57" s="121"/>
      <c r="K57" s="223"/>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70"/>
      <c r="AV57" s="170"/>
      <c r="AW57" s="170"/>
      <c r="AX57" s="170"/>
      <c r="AY57" s="170"/>
    </row>
    <row r="58" spans="1:51" ht="15">
      <c r="B58" s="175" t="s">
        <v>572</v>
      </c>
      <c r="C58" s="176" t="s">
        <v>574</v>
      </c>
      <c r="D58" s="172" t="s">
        <v>557</v>
      </c>
      <c r="E58" s="172"/>
      <c r="F58" s="101"/>
      <c r="G58" s="101"/>
      <c r="H58" s="101"/>
      <c r="I58" s="176"/>
      <c r="J58" s="121">
        <f>J59</f>
        <v>11.234500000000008</v>
      </c>
      <c r="K58" s="226"/>
    </row>
    <row r="59" spans="1:51" s="171" customFormat="1" ht="15">
      <c r="A59" s="170"/>
      <c r="B59" s="175"/>
      <c r="C59" s="176" t="s">
        <v>1061</v>
      </c>
      <c r="D59" s="172"/>
      <c r="E59" s="172"/>
      <c r="F59" s="101"/>
      <c r="G59" s="101"/>
      <c r="H59" s="101"/>
      <c r="I59" s="176"/>
      <c r="J59" s="121">
        <f>J44-(J68*0.05)-J96</f>
        <v>11.234500000000008</v>
      </c>
      <c r="K59" s="226"/>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70"/>
      <c r="AV59" s="170"/>
      <c r="AW59" s="170"/>
      <c r="AX59" s="170"/>
      <c r="AY59" s="170"/>
    </row>
    <row r="60" spans="1:51" s="171" customFormat="1" ht="15">
      <c r="A60" s="170"/>
      <c r="B60" s="175"/>
      <c r="C60" s="176"/>
      <c r="D60" s="172"/>
      <c r="E60" s="172"/>
      <c r="F60" s="101"/>
      <c r="G60" s="101"/>
      <c r="H60" s="101"/>
      <c r="I60" s="176"/>
      <c r="J60" s="121"/>
      <c r="K60" s="226"/>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70"/>
      <c r="AV60" s="170"/>
      <c r="AW60" s="170"/>
      <c r="AX60" s="170"/>
      <c r="AY60" s="170"/>
    </row>
    <row r="61" spans="1:51" s="171" customFormat="1" ht="15">
      <c r="A61" s="170"/>
      <c r="B61" s="175" t="s">
        <v>573</v>
      </c>
      <c r="C61" s="176" t="s">
        <v>903</v>
      </c>
      <c r="D61" s="172" t="s">
        <v>557</v>
      </c>
      <c r="E61" s="172"/>
      <c r="F61" s="101"/>
      <c r="G61" s="101"/>
      <c r="H61" s="101"/>
      <c r="I61" s="176"/>
      <c r="J61" s="121">
        <f>SUM(J62)</f>
        <v>40.579374999999999</v>
      </c>
      <c r="K61" s="226"/>
      <c r="L61" s="170"/>
      <c r="M61" s="170"/>
      <c r="N61" s="170"/>
      <c r="O61" s="170"/>
      <c r="P61" s="170"/>
      <c r="Q61" s="170"/>
      <c r="R61" s="170"/>
      <c r="S61" s="170"/>
      <c r="T61" s="170"/>
      <c r="U61" s="170"/>
      <c r="V61" s="170"/>
      <c r="W61" s="170"/>
      <c r="X61" s="170"/>
      <c r="Y61" s="170"/>
      <c r="Z61" s="170"/>
      <c r="AA61" s="170"/>
      <c r="AB61" s="170"/>
      <c r="AC61" s="170"/>
      <c r="AD61" s="170"/>
      <c r="AE61" s="170"/>
      <c r="AF61" s="170"/>
      <c r="AG61" s="170"/>
      <c r="AH61" s="170"/>
      <c r="AI61" s="170"/>
      <c r="AJ61" s="170"/>
      <c r="AK61" s="170"/>
      <c r="AL61" s="170"/>
      <c r="AM61" s="170"/>
      <c r="AN61" s="170"/>
      <c r="AO61" s="170"/>
      <c r="AP61" s="170"/>
      <c r="AQ61" s="170"/>
      <c r="AR61" s="170"/>
      <c r="AS61" s="170"/>
      <c r="AT61" s="170"/>
      <c r="AU61" s="170"/>
      <c r="AV61" s="170"/>
      <c r="AW61" s="170"/>
      <c r="AX61" s="170"/>
      <c r="AY61" s="170"/>
    </row>
    <row r="62" spans="1:51" s="171" customFormat="1" ht="15">
      <c r="A62" s="170"/>
      <c r="B62" s="175"/>
      <c r="C62" s="176" t="s">
        <v>1157</v>
      </c>
      <c r="D62" s="172"/>
      <c r="E62" s="172"/>
      <c r="F62" s="101"/>
      <c r="G62" s="101"/>
      <c r="H62" s="101"/>
      <c r="I62" s="176"/>
      <c r="J62" s="121">
        <f>(J44-J58+J37)*1.25</f>
        <v>40.579374999999999</v>
      </c>
      <c r="K62" s="226"/>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70"/>
      <c r="AV62" s="170"/>
      <c r="AW62" s="170"/>
      <c r="AX62" s="170"/>
      <c r="AY62" s="170"/>
    </row>
    <row r="63" spans="1:51" s="171" customFormat="1" ht="15">
      <c r="A63" s="170"/>
      <c r="B63" s="175"/>
      <c r="C63" s="176"/>
      <c r="D63" s="172"/>
      <c r="E63" s="172"/>
      <c r="F63" s="101"/>
      <c r="G63" s="101"/>
      <c r="H63" s="101"/>
      <c r="I63" s="176"/>
      <c r="J63" s="121"/>
      <c r="K63" s="226"/>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70"/>
      <c r="AV63" s="170"/>
      <c r="AW63" s="170"/>
      <c r="AX63" s="170"/>
      <c r="AY63" s="170"/>
    </row>
    <row r="64" spans="1:51" s="171" customFormat="1" ht="25.5">
      <c r="A64" s="170"/>
      <c r="B64" s="175" t="s">
        <v>575</v>
      </c>
      <c r="C64" s="278" t="s">
        <v>904</v>
      </c>
      <c r="D64" s="172" t="s">
        <v>557</v>
      </c>
      <c r="E64" s="172"/>
      <c r="F64" s="101"/>
      <c r="G64" s="101"/>
      <c r="H64" s="101"/>
      <c r="I64" s="176"/>
      <c r="J64" s="121">
        <f>SUM(J65)</f>
        <v>40.579374999999999</v>
      </c>
      <c r="K64" s="226"/>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70"/>
      <c r="AV64" s="170"/>
      <c r="AW64" s="170"/>
      <c r="AX64" s="170"/>
      <c r="AY64" s="170"/>
    </row>
    <row r="65" spans="1:51" s="171" customFormat="1" ht="15">
      <c r="A65" s="170"/>
      <c r="B65" s="175"/>
      <c r="C65" s="176" t="s">
        <v>1063</v>
      </c>
      <c r="D65" s="172"/>
      <c r="E65" s="172"/>
      <c r="F65" s="101"/>
      <c r="G65" s="101"/>
      <c r="H65" s="101"/>
      <c r="I65" s="176"/>
      <c r="J65" s="121">
        <f>J62</f>
        <v>40.579374999999999</v>
      </c>
      <c r="K65" s="226"/>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70"/>
      <c r="AV65" s="170"/>
      <c r="AW65" s="170"/>
      <c r="AX65" s="170"/>
      <c r="AY65" s="170"/>
    </row>
    <row r="66" spans="1:51" ht="15">
      <c r="B66" s="118">
        <v>4</v>
      </c>
      <c r="C66" s="71" t="s">
        <v>576</v>
      </c>
      <c r="D66" s="71"/>
      <c r="E66" s="71"/>
      <c r="F66" s="107"/>
      <c r="G66" s="107"/>
      <c r="H66" s="107"/>
      <c r="I66" s="71"/>
      <c r="J66" s="120"/>
      <c r="K66" s="223"/>
    </row>
    <row r="67" spans="1:51" ht="15">
      <c r="B67" s="125" t="s">
        <v>577</v>
      </c>
      <c r="C67" s="72" t="s">
        <v>558</v>
      </c>
      <c r="D67" s="73"/>
      <c r="E67" s="73"/>
      <c r="F67" s="109"/>
      <c r="G67" s="109"/>
      <c r="H67" s="109"/>
      <c r="I67" s="72"/>
      <c r="J67" s="126"/>
      <c r="K67" s="223"/>
    </row>
    <row r="68" spans="1:51" ht="15">
      <c r="B68" s="175" t="s">
        <v>578</v>
      </c>
      <c r="C68" s="176" t="s">
        <v>977</v>
      </c>
      <c r="D68" s="172" t="s">
        <v>543</v>
      </c>
      <c r="E68" s="172"/>
      <c r="F68" s="101"/>
      <c r="G68" s="101"/>
      <c r="H68" s="101"/>
      <c r="I68" s="123" t="s">
        <v>1062</v>
      </c>
      <c r="J68" s="121">
        <f>SUM(J69+J76)</f>
        <v>70.109999999999985</v>
      </c>
      <c r="K68" s="223"/>
    </row>
    <row r="69" spans="1:51" s="292" customFormat="1" ht="15">
      <c r="A69" s="287"/>
      <c r="B69" s="122"/>
      <c r="C69" s="288" t="s">
        <v>558</v>
      </c>
      <c r="D69" s="289"/>
      <c r="E69" s="289"/>
      <c r="F69" s="290"/>
      <c r="G69" s="290"/>
      <c r="H69" s="290"/>
      <c r="I69" s="123"/>
      <c r="J69" s="161">
        <f>SUM(J70:J75)</f>
        <v>32.9</v>
      </c>
      <c r="K69" s="293"/>
      <c r="L69" s="287"/>
      <c r="M69" s="287"/>
      <c r="N69" s="287"/>
      <c r="O69" s="287"/>
      <c r="P69" s="287"/>
      <c r="Q69" s="287"/>
      <c r="R69" s="287"/>
      <c r="S69" s="287"/>
      <c r="T69" s="287"/>
      <c r="U69" s="287"/>
      <c r="V69" s="287"/>
      <c r="W69" s="287"/>
      <c r="X69" s="287"/>
      <c r="Y69" s="287"/>
      <c r="Z69" s="287"/>
      <c r="AA69" s="287"/>
      <c r="AB69" s="287"/>
      <c r="AC69" s="287"/>
      <c r="AD69" s="287"/>
      <c r="AE69" s="287"/>
      <c r="AF69" s="287"/>
      <c r="AG69" s="287"/>
      <c r="AH69" s="287"/>
      <c r="AI69" s="287"/>
      <c r="AJ69" s="287"/>
      <c r="AK69" s="287"/>
      <c r="AL69" s="287"/>
      <c r="AM69" s="287"/>
      <c r="AN69" s="287"/>
      <c r="AO69" s="287"/>
      <c r="AP69" s="287"/>
      <c r="AQ69" s="287"/>
      <c r="AR69" s="287"/>
      <c r="AS69" s="287"/>
      <c r="AT69" s="287"/>
      <c r="AU69" s="287"/>
      <c r="AV69" s="287"/>
      <c r="AW69" s="287"/>
      <c r="AX69" s="287"/>
      <c r="AY69" s="287"/>
    </row>
    <row r="70" spans="1:51" s="171" customFormat="1" ht="15">
      <c r="A70" s="170"/>
      <c r="B70" s="175"/>
      <c r="C70" s="180" t="s">
        <v>559</v>
      </c>
      <c r="D70" s="172"/>
      <c r="E70" s="172">
        <v>6</v>
      </c>
      <c r="F70" s="101">
        <v>1</v>
      </c>
      <c r="G70" s="101"/>
      <c r="H70" s="101"/>
      <c r="I70" s="176"/>
      <c r="J70" s="121">
        <f>TRUNC(((PI()*F70^2)/4)*E70,2)</f>
        <v>4.71</v>
      </c>
      <c r="K70" s="223"/>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70"/>
      <c r="AV70" s="170"/>
      <c r="AW70" s="170"/>
      <c r="AX70" s="170"/>
      <c r="AY70" s="170"/>
    </row>
    <row r="71" spans="1:51" s="171" customFormat="1" ht="15">
      <c r="A71" s="170"/>
      <c r="B71" s="175"/>
      <c r="C71" s="180" t="s">
        <v>561</v>
      </c>
      <c r="D71" s="172"/>
      <c r="E71" s="172">
        <v>5</v>
      </c>
      <c r="F71" s="101">
        <v>1.2</v>
      </c>
      <c r="G71" s="101"/>
      <c r="H71" s="101"/>
      <c r="I71" s="176"/>
      <c r="J71" s="121">
        <f>TRUNC(((PI()*F71^2)/4)*E71,2)</f>
        <v>5.65</v>
      </c>
      <c r="K71" s="223"/>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70"/>
      <c r="AV71" s="170"/>
      <c r="AW71" s="170"/>
      <c r="AX71" s="170"/>
      <c r="AY71" s="170"/>
    </row>
    <row r="72" spans="1:51" s="171" customFormat="1" ht="15">
      <c r="A72" s="170"/>
      <c r="B72" s="175"/>
      <c r="C72" s="180" t="s">
        <v>562</v>
      </c>
      <c r="D72" s="172"/>
      <c r="E72" s="172">
        <v>2</v>
      </c>
      <c r="F72" s="101">
        <v>1.5</v>
      </c>
      <c r="G72" s="101"/>
      <c r="H72" s="101"/>
      <c r="I72" s="176"/>
      <c r="J72" s="121">
        <f>TRUNC(((PI()*F72^2)/4)*E72,2)</f>
        <v>3.53</v>
      </c>
      <c r="K72" s="223"/>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70"/>
      <c r="AV72" s="170"/>
      <c r="AW72" s="170"/>
      <c r="AX72" s="170"/>
      <c r="AY72" s="170"/>
    </row>
    <row r="73" spans="1:51" s="171" customFormat="1" ht="15">
      <c r="A73" s="170"/>
      <c r="B73" s="175"/>
      <c r="C73" s="180" t="s">
        <v>563</v>
      </c>
      <c r="D73" s="172"/>
      <c r="E73" s="172">
        <v>1</v>
      </c>
      <c r="F73" s="101">
        <f>1.8+(2*0.3)</f>
        <v>2.4</v>
      </c>
      <c r="G73" s="101">
        <f>1.8+(2*0.3)</f>
        <v>2.4</v>
      </c>
      <c r="H73" s="101"/>
      <c r="I73" s="123"/>
      <c r="J73" s="121">
        <f>TRUNC(E73*F73*G73,2)</f>
        <v>5.76</v>
      </c>
      <c r="K73" s="223"/>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70"/>
      <c r="AV73" s="170"/>
      <c r="AW73" s="170"/>
      <c r="AX73" s="170"/>
      <c r="AY73" s="170"/>
    </row>
    <row r="74" spans="1:51" s="171" customFormat="1" ht="15">
      <c r="A74" s="170"/>
      <c r="B74" s="175"/>
      <c r="C74" s="180" t="s">
        <v>565</v>
      </c>
      <c r="D74" s="172"/>
      <c r="E74" s="172">
        <v>1</v>
      </c>
      <c r="F74" s="101">
        <f>1.6+(2*0.3)</f>
        <v>2.2000000000000002</v>
      </c>
      <c r="G74" s="101">
        <f>1.6+(2*0.3)</f>
        <v>2.2000000000000002</v>
      </c>
      <c r="H74" s="101"/>
      <c r="I74" s="123"/>
      <c r="J74" s="121">
        <f>TRUNC(E74*F74*G74,2)</f>
        <v>4.84</v>
      </c>
      <c r="K74" s="223"/>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70"/>
      <c r="AV74" s="170"/>
      <c r="AW74" s="170"/>
      <c r="AX74" s="170"/>
      <c r="AY74" s="170"/>
    </row>
    <row r="75" spans="1:51" s="171" customFormat="1" ht="15">
      <c r="A75" s="170"/>
      <c r="B75" s="175"/>
      <c r="C75" s="180" t="s">
        <v>566</v>
      </c>
      <c r="D75" s="172"/>
      <c r="E75" s="172">
        <v>1</v>
      </c>
      <c r="F75" s="101">
        <f>2.3+(2*0.3)</f>
        <v>2.9</v>
      </c>
      <c r="G75" s="101">
        <f>2.3+(2*0.3)</f>
        <v>2.9</v>
      </c>
      <c r="H75" s="101"/>
      <c r="I75" s="123"/>
      <c r="J75" s="121">
        <f>TRUNC(E75*F75*G75,2)</f>
        <v>8.41</v>
      </c>
      <c r="K75" s="223"/>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70"/>
      <c r="AV75" s="170"/>
      <c r="AW75" s="170"/>
      <c r="AX75" s="170"/>
      <c r="AY75" s="170"/>
    </row>
    <row r="76" spans="1:51" s="292" customFormat="1" ht="15">
      <c r="A76" s="287"/>
      <c r="B76" s="122"/>
      <c r="C76" s="288" t="s">
        <v>567</v>
      </c>
      <c r="D76" s="289"/>
      <c r="E76" s="289"/>
      <c r="F76" s="290"/>
      <c r="G76" s="290"/>
      <c r="H76" s="290"/>
      <c r="I76" s="123"/>
      <c r="J76" s="161">
        <f>SUM(J77:J80)</f>
        <v>37.209999999999994</v>
      </c>
      <c r="K76" s="293"/>
      <c r="L76" s="287"/>
      <c r="M76" s="287"/>
      <c r="N76" s="287"/>
      <c r="O76" s="287"/>
      <c r="P76" s="287"/>
      <c r="Q76" s="287"/>
      <c r="R76" s="287"/>
      <c r="S76" s="287"/>
      <c r="T76" s="287"/>
      <c r="U76" s="287"/>
      <c r="V76" s="287"/>
      <c r="W76" s="287"/>
      <c r="X76" s="287"/>
      <c r="Y76" s="287"/>
      <c r="Z76" s="287"/>
      <c r="AA76" s="287"/>
      <c r="AB76" s="287"/>
      <c r="AC76" s="287"/>
      <c r="AD76" s="287"/>
      <c r="AE76" s="287"/>
      <c r="AF76" s="287"/>
      <c r="AG76" s="287"/>
      <c r="AH76" s="287"/>
      <c r="AI76" s="287"/>
      <c r="AJ76" s="287"/>
      <c r="AK76" s="287"/>
      <c r="AL76" s="287"/>
      <c r="AM76" s="287"/>
      <c r="AN76" s="287"/>
      <c r="AO76" s="287"/>
      <c r="AP76" s="287"/>
      <c r="AQ76" s="287"/>
      <c r="AR76" s="287"/>
      <c r="AS76" s="287"/>
      <c r="AT76" s="287"/>
      <c r="AU76" s="287"/>
      <c r="AV76" s="287"/>
      <c r="AW76" s="287"/>
      <c r="AX76" s="287"/>
      <c r="AY76" s="287"/>
    </row>
    <row r="77" spans="1:51" s="171" customFormat="1" ht="15">
      <c r="A77" s="170"/>
      <c r="B77" s="175"/>
      <c r="C77" s="180" t="s">
        <v>568</v>
      </c>
      <c r="D77" s="172"/>
      <c r="E77" s="172">
        <v>3</v>
      </c>
      <c r="F77" s="101">
        <f>0.15+(2*0.05)</f>
        <v>0.25</v>
      </c>
      <c r="G77" s="101">
        <f>9.1+6.55+4.47</f>
        <v>20.119999999999997</v>
      </c>
      <c r="H77" s="101"/>
      <c r="I77" s="123"/>
      <c r="J77" s="121">
        <f>TRUNC(E77*F77*G77,2)</f>
        <v>15.09</v>
      </c>
      <c r="K77" s="223"/>
      <c r="L77" s="170"/>
      <c r="M77" s="170"/>
      <c r="N77" s="170"/>
      <c r="O77" s="170"/>
      <c r="P77" s="170"/>
      <c r="Q77" s="170"/>
      <c r="R77" s="170"/>
      <c r="S77" s="170"/>
      <c r="T77" s="170"/>
      <c r="U77" s="170"/>
      <c r="V77" s="170"/>
      <c r="W77" s="170"/>
      <c r="X77" s="170"/>
      <c r="Y77" s="170"/>
      <c r="Z77" s="170"/>
      <c r="AA77" s="170"/>
      <c r="AB77" s="170"/>
      <c r="AC77" s="170"/>
      <c r="AD77" s="170"/>
      <c r="AE77" s="170"/>
      <c r="AF77" s="170"/>
      <c r="AG77" s="170"/>
      <c r="AH77" s="170"/>
      <c r="AI77" s="170"/>
      <c r="AJ77" s="170"/>
      <c r="AK77" s="170"/>
      <c r="AL77" s="170"/>
      <c r="AM77" s="170"/>
      <c r="AN77" s="170"/>
      <c r="AO77" s="170"/>
      <c r="AP77" s="170"/>
      <c r="AQ77" s="170"/>
      <c r="AR77" s="170"/>
      <c r="AS77" s="170"/>
      <c r="AT77" s="170"/>
      <c r="AU77" s="170"/>
      <c r="AV77" s="170"/>
      <c r="AW77" s="170"/>
      <c r="AX77" s="170"/>
      <c r="AY77" s="170"/>
    </row>
    <row r="78" spans="1:51" s="171" customFormat="1" ht="15">
      <c r="A78" s="170"/>
      <c r="B78" s="175"/>
      <c r="C78" s="180" t="s">
        <v>569</v>
      </c>
      <c r="D78" s="172"/>
      <c r="E78" s="172">
        <v>4</v>
      </c>
      <c r="F78" s="101">
        <f t="shared" ref="F78:F80" si="4">0.15+(2*0.05)</f>
        <v>0.25</v>
      </c>
      <c r="G78" s="101">
        <f>7+9.4</f>
        <v>16.399999999999999</v>
      </c>
      <c r="H78" s="101"/>
      <c r="I78" s="123"/>
      <c r="J78" s="121">
        <f>TRUNC(E78*F78*G78,2)</f>
        <v>16.399999999999999</v>
      </c>
      <c r="K78" s="223"/>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70"/>
      <c r="AV78" s="170"/>
      <c r="AW78" s="170"/>
      <c r="AX78" s="170"/>
      <c r="AY78" s="170"/>
    </row>
    <row r="79" spans="1:51" s="171" customFormat="1" ht="15">
      <c r="A79" s="170"/>
      <c r="B79" s="175"/>
      <c r="C79" s="180" t="s">
        <v>570</v>
      </c>
      <c r="D79" s="172"/>
      <c r="E79" s="172">
        <v>2</v>
      </c>
      <c r="F79" s="101">
        <f t="shared" si="4"/>
        <v>0.25</v>
      </c>
      <c r="G79" s="101">
        <f>5.279</f>
        <v>5.2789999999999999</v>
      </c>
      <c r="H79" s="101"/>
      <c r="I79" s="123"/>
      <c r="J79" s="121">
        <f>TRUNC(E79*F79*G79,2)</f>
        <v>2.63</v>
      </c>
      <c r="K79" s="223"/>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70"/>
      <c r="AV79" s="170"/>
      <c r="AW79" s="170"/>
      <c r="AX79" s="170"/>
      <c r="AY79" s="170"/>
    </row>
    <row r="80" spans="1:51" s="171" customFormat="1" ht="15">
      <c r="A80" s="170"/>
      <c r="B80" s="175"/>
      <c r="C80" s="180" t="s">
        <v>571</v>
      </c>
      <c r="D80" s="172"/>
      <c r="E80" s="172">
        <v>2</v>
      </c>
      <c r="F80" s="101">
        <f t="shared" si="4"/>
        <v>0.25</v>
      </c>
      <c r="G80" s="101">
        <v>6.1849999999999996</v>
      </c>
      <c r="H80" s="101"/>
      <c r="I80" s="123"/>
      <c r="J80" s="121">
        <f>TRUNC(E80*F80*G80,2)</f>
        <v>3.09</v>
      </c>
      <c r="K80" s="223"/>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70"/>
      <c r="AV80" s="170"/>
      <c r="AW80" s="170"/>
      <c r="AX80" s="170"/>
      <c r="AY80" s="170"/>
    </row>
    <row r="81" spans="1:51" s="171" customFormat="1" ht="15">
      <c r="A81" s="170"/>
      <c r="B81" s="175"/>
      <c r="C81" s="176"/>
      <c r="D81" s="172"/>
      <c r="E81" s="172"/>
      <c r="F81" s="101"/>
      <c r="G81" s="101"/>
      <c r="H81" s="101"/>
      <c r="I81" s="123"/>
      <c r="J81" s="121"/>
      <c r="K81" s="223"/>
      <c r="L81" s="170"/>
      <c r="M81" s="170"/>
      <c r="N81" s="170"/>
      <c r="O81" s="170"/>
      <c r="P81" s="170"/>
      <c r="Q81" s="170"/>
      <c r="R81" s="170"/>
      <c r="S81" s="170"/>
      <c r="T81" s="170"/>
      <c r="U81" s="170"/>
      <c r="V81" s="170"/>
      <c r="W81" s="170"/>
      <c r="X81" s="170"/>
      <c r="Y81" s="170"/>
      <c r="Z81" s="170"/>
      <c r="AA81" s="170"/>
      <c r="AB81" s="170"/>
      <c r="AC81" s="170"/>
      <c r="AD81" s="170"/>
      <c r="AE81" s="170"/>
      <c r="AF81" s="170"/>
      <c r="AG81" s="170"/>
      <c r="AH81" s="170"/>
      <c r="AI81" s="170"/>
      <c r="AJ81" s="170"/>
      <c r="AK81" s="170"/>
      <c r="AL81" s="170"/>
      <c r="AM81" s="170"/>
      <c r="AN81" s="170"/>
      <c r="AO81" s="170"/>
      <c r="AP81" s="170"/>
      <c r="AQ81" s="170"/>
      <c r="AR81" s="170"/>
      <c r="AS81" s="170"/>
      <c r="AT81" s="170"/>
      <c r="AU81" s="170"/>
      <c r="AV81" s="170"/>
      <c r="AW81" s="170"/>
      <c r="AX81" s="170"/>
      <c r="AY81" s="170"/>
    </row>
    <row r="82" spans="1:51" ht="15">
      <c r="B82" s="175" t="s">
        <v>580</v>
      </c>
      <c r="C82" s="176" t="s">
        <v>898</v>
      </c>
      <c r="D82" s="172" t="s">
        <v>543</v>
      </c>
      <c r="E82" s="172"/>
      <c r="F82" s="101"/>
      <c r="G82" s="101"/>
      <c r="H82" s="101"/>
      <c r="I82" s="123" t="s">
        <v>1062</v>
      </c>
      <c r="J82" s="121">
        <f>SUM(J83,J90)</f>
        <v>108.75999999999999</v>
      </c>
      <c r="K82" s="223"/>
    </row>
    <row r="83" spans="1:51" s="292" customFormat="1" ht="15">
      <c r="A83" s="287"/>
      <c r="B83" s="122"/>
      <c r="C83" s="288" t="s">
        <v>558</v>
      </c>
      <c r="D83" s="289"/>
      <c r="E83" s="289"/>
      <c r="F83" s="290"/>
      <c r="G83" s="290"/>
      <c r="H83" s="290"/>
      <c r="I83" s="123"/>
      <c r="J83" s="161">
        <f>SUM(J84:J89)</f>
        <v>19.439999999999998</v>
      </c>
      <c r="K83" s="293"/>
      <c r="L83" s="287"/>
      <c r="M83" s="287"/>
      <c r="N83" s="287"/>
      <c r="O83" s="287"/>
      <c r="P83" s="287"/>
      <c r="Q83" s="287"/>
      <c r="R83" s="287"/>
      <c r="S83" s="287"/>
      <c r="T83" s="287"/>
      <c r="U83" s="287"/>
      <c r="V83" s="287"/>
      <c r="W83" s="287"/>
      <c r="X83" s="287"/>
      <c r="Y83" s="287"/>
      <c r="Z83" s="287"/>
      <c r="AA83" s="287"/>
      <c r="AB83" s="287"/>
      <c r="AC83" s="287"/>
      <c r="AD83" s="287"/>
      <c r="AE83" s="287"/>
      <c r="AF83" s="287"/>
      <c r="AG83" s="287"/>
      <c r="AH83" s="287"/>
      <c r="AI83" s="287"/>
      <c r="AJ83" s="287"/>
      <c r="AK83" s="287"/>
      <c r="AL83" s="287"/>
      <c r="AM83" s="287"/>
      <c r="AN83" s="287"/>
      <c r="AO83" s="287"/>
      <c r="AP83" s="287"/>
      <c r="AQ83" s="287"/>
      <c r="AR83" s="287"/>
      <c r="AS83" s="287"/>
      <c r="AT83" s="287"/>
      <c r="AU83" s="287"/>
      <c r="AV83" s="287"/>
      <c r="AW83" s="287"/>
      <c r="AX83" s="287"/>
      <c r="AY83" s="287"/>
    </row>
    <row r="84" spans="1:51" s="171" customFormat="1" ht="15">
      <c r="A84" s="170"/>
      <c r="B84" s="175"/>
      <c r="C84" s="180" t="s">
        <v>559</v>
      </c>
      <c r="D84" s="172"/>
      <c r="E84" s="172">
        <v>6</v>
      </c>
      <c r="F84" s="101">
        <v>1</v>
      </c>
      <c r="G84" s="101"/>
      <c r="H84" s="101">
        <v>0.5</v>
      </c>
      <c r="I84" s="176" t="s">
        <v>1145</v>
      </c>
      <c r="J84" s="121"/>
      <c r="K84" s="223"/>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70"/>
      <c r="AV84" s="170"/>
      <c r="AW84" s="170"/>
      <c r="AX84" s="170"/>
      <c r="AY84" s="170"/>
    </row>
    <row r="85" spans="1:51" s="171" customFormat="1" ht="15">
      <c r="A85" s="170"/>
      <c r="B85" s="175"/>
      <c r="C85" s="180" t="s">
        <v>561</v>
      </c>
      <c r="D85" s="172"/>
      <c r="E85" s="172">
        <v>5</v>
      </c>
      <c r="F85" s="101">
        <v>1.2</v>
      </c>
      <c r="G85" s="101"/>
      <c r="H85" s="101">
        <v>0.6</v>
      </c>
      <c r="I85" s="176" t="s">
        <v>1145</v>
      </c>
      <c r="J85" s="121"/>
      <c r="K85" s="223"/>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70"/>
      <c r="AV85" s="170"/>
      <c r="AW85" s="170"/>
      <c r="AX85" s="170"/>
      <c r="AY85" s="170"/>
    </row>
    <row r="86" spans="1:51" s="171" customFormat="1" ht="15">
      <c r="A86" s="170"/>
      <c r="B86" s="175"/>
      <c r="C86" s="180" t="s">
        <v>562</v>
      </c>
      <c r="D86" s="172"/>
      <c r="E86" s="172">
        <v>2</v>
      </c>
      <c r="F86" s="101">
        <v>1.5</v>
      </c>
      <c r="G86" s="101"/>
      <c r="H86" s="101">
        <v>0.75</v>
      </c>
      <c r="I86" s="176" t="s">
        <v>1145</v>
      </c>
      <c r="J86" s="121"/>
      <c r="K86" s="223"/>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70"/>
      <c r="AV86" s="170"/>
      <c r="AW86" s="170"/>
      <c r="AX86" s="170"/>
      <c r="AY86" s="170"/>
    </row>
    <row r="87" spans="1:51" s="171" customFormat="1" ht="15">
      <c r="A87" s="170"/>
      <c r="B87" s="175"/>
      <c r="C87" s="180" t="s">
        <v>563</v>
      </c>
      <c r="D87" s="172"/>
      <c r="E87" s="172">
        <v>1</v>
      </c>
      <c r="F87" s="101">
        <v>1.8</v>
      </c>
      <c r="G87" s="101">
        <v>1.8</v>
      </c>
      <c r="H87" s="101">
        <v>0.8</v>
      </c>
      <c r="I87" s="123"/>
      <c r="J87" s="121">
        <f>TRUNC((F87+G87)*2*H87,2)</f>
        <v>5.76</v>
      </c>
      <c r="K87" s="223"/>
      <c r="L87" s="170"/>
      <c r="M87" s="170"/>
      <c r="N87" s="170"/>
      <c r="O87" s="170"/>
      <c r="P87" s="170"/>
      <c r="Q87" s="170"/>
      <c r="R87" s="170"/>
      <c r="S87" s="170"/>
      <c r="T87" s="170"/>
      <c r="U87" s="170"/>
      <c r="V87" s="170"/>
      <c r="W87" s="170"/>
      <c r="X87" s="170"/>
      <c r="Y87" s="170"/>
      <c r="Z87" s="170"/>
      <c r="AA87" s="170"/>
      <c r="AB87" s="170"/>
      <c r="AC87" s="170"/>
      <c r="AD87" s="170"/>
      <c r="AE87" s="170"/>
      <c r="AF87" s="170"/>
      <c r="AG87" s="170"/>
      <c r="AH87" s="170"/>
      <c r="AI87" s="170"/>
      <c r="AJ87" s="170"/>
      <c r="AK87" s="170"/>
      <c r="AL87" s="170"/>
      <c r="AM87" s="170"/>
      <c r="AN87" s="170"/>
      <c r="AO87" s="170"/>
      <c r="AP87" s="170"/>
      <c r="AQ87" s="170"/>
      <c r="AR87" s="170"/>
      <c r="AS87" s="170"/>
      <c r="AT87" s="170"/>
      <c r="AU87" s="170"/>
      <c r="AV87" s="170"/>
      <c r="AW87" s="170"/>
      <c r="AX87" s="170"/>
      <c r="AY87" s="170"/>
    </row>
    <row r="88" spans="1:51" s="171" customFormat="1" ht="15">
      <c r="A88" s="170"/>
      <c r="B88" s="175"/>
      <c r="C88" s="180" t="s">
        <v>565</v>
      </c>
      <c r="D88" s="172"/>
      <c r="E88" s="172">
        <v>1</v>
      </c>
      <c r="F88" s="101">
        <v>1.6</v>
      </c>
      <c r="G88" s="101">
        <v>1.6</v>
      </c>
      <c r="H88" s="101">
        <v>0.7</v>
      </c>
      <c r="I88" s="123"/>
      <c r="J88" s="121">
        <f t="shared" ref="J88:J89" si="5">TRUNC((F88+G88)*2*H88,2)</f>
        <v>4.4800000000000004</v>
      </c>
      <c r="K88" s="223"/>
      <c r="L88" s="170"/>
      <c r="M88" s="170"/>
      <c r="N88" s="170"/>
      <c r="O88" s="170"/>
      <c r="P88" s="170"/>
      <c r="Q88" s="170"/>
      <c r="R88" s="170"/>
      <c r="S88" s="170"/>
      <c r="T88" s="170"/>
      <c r="U88" s="170"/>
      <c r="V88" s="170"/>
      <c r="W88" s="170"/>
      <c r="X88" s="170"/>
      <c r="Y88" s="170"/>
      <c r="Z88" s="170"/>
      <c r="AA88" s="170"/>
      <c r="AB88" s="170"/>
      <c r="AC88" s="170"/>
      <c r="AD88" s="170"/>
      <c r="AE88" s="170"/>
      <c r="AF88" s="170"/>
      <c r="AG88" s="170"/>
      <c r="AH88" s="170"/>
      <c r="AI88" s="170"/>
      <c r="AJ88" s="170"/>
      <c r="AK88" s="170"/>
      <c r="AL88" s="170"/>
      <c r="AM88" s="170"/>
      <c r="AN88" s="170"/>
      <c r="AO88" s="170"/>
      <c r="AP88" s="170"/>
      <c r="AQ88" s="170"/>
      <c r="AR88" s="170"/>
      <c r="AS88" s="170"/>
      <c r="AT88" s="170"/>
      <c r="AU88" s="170"/>
      <c r="AV88" s="170"/>
      <c r="AW88" s="170"/>
      <c r="AX88" s="170"/>
      <c r="AY88" s="170"/>
    </row>
    <row r="89" spans="1:51" s="171" customFormat="1" ht="15">
      <c r="A89" s="170"/>
      <c r="B89" s="175"/>
      <c r="C89" s="180" t="s">
        <v>566</v>
      </c>
      <c r="D89" s="172"/>
      <c r="E89" s="172">
        <v>1</v>
      </c>
      <c r="F89" s="101">
        <v>2.2999999999999998</v>
      </c>
      <c r="G89" s="101">
        <v>2.2999999999999998</v>
      </c>
      <c r="H89" s="101">
        <v>1</v>
      </c>
      <c r="I89" s="123"/>
      <c r="J89" s="121">
        <f t="shared" si="5"/>
        <v>9.1999999999999993</v>
      </c>
      <c r="K89" s="223"/>
      <c r="L89" s="170"/>
      <c r="M89" s="170"/>
      <c r="N89" s="170"/>
      <c r="O89" s="170"/>
      <c r="P89" s="170"/>
      <c r="Q89" s="170"/>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70"/>
      <c r="AO89" s="170"/>
      <c r="AP89" s="170"/>
      <c r="AQ89" s="170"/>
      <c r="AR89" s="170"/>
      <c r="AS89" s="170"/>
      <c r="AT89" s="170"/>
      <c r="AU89" s="170"/>
      <c r="AV89" s="170"/>
      <c r="AW89" s="170"/>
      <c r="AX89" s="170"/>
      <c r="AY89" s="170"/>
    </row>
    <row r="90" spans="1:51" s="292" customFormat="1" ht="15">
      <c r="A90" s="287"/>
      <c r="B90" s="122"/>
      <c r="C90" s="288" t="s">
        <v>567</v>
      </c>
      <c r="D90" s="289"/>
      <c r="E90" s="289"/>
      <c r="F90" s="290"/>
      <c r="G90" s="290"/>
      <c r="H90" s="290"/>
      <c r="I90" s="123"/>
      <c r="J90" s="161">
        <f>SUM(J91:J94)</f>
        <v>89.32</v>
      </c>
      <c r="K90" s="293"/>
      <c r="L90" s="287"/>
      <c r="M90" s="287"/>
      <c r="N90" s="287"/>
      <c r="O90" s="287"/>
      <c r="P90" s="287"/>
      <c r="Q90" s="287"/>
      <c r="R90" s="287"/>
      <c r="S90" s="287"/>
      <c r="T90" s="287"/>
      <c r="U90" s="287"/>
      <c r="V90" s="287"/>
      <c r="W90" s="287"/>
      <c r="X90" s="287"/>
      <c r="Y90" s="287"/>
      <c r="Z90" s="287"/>
      <c r="AA90" s="287"/>
      <c r="AB90" s="287"/>
      <c r="AC90" s="287"/>
      <c r="AD90" s="287"/>
      <c r="AE90" s="287"/>
      <c r="AF90" s="287"/>
      <c r="AG90" s="287"/>
      <c r="AH90" s="287"/>
      <c r="AI90" s="287"/>
      <c r="AJ90" s="287"/>
      <c r="AK90" s="287"/>
      <c r="AL90" s="287"/>
      <c r="AM90" s="287"/>
      <c r="AN90" s="287"/>
      <c r="AO90" s="287"/>
      <c r="AP90" s="287"/>
      <c r="AQ90" s="287"/>
      <c r="AR90" s="287"/>
      <c r="AS90" s="287"/>
      <c r="AT90" s="287"/>
      <c r="AU90" s="287"/>
      <c r="AV90" s="287"/>
      <c r="AW90" s="287"/>
      <c r="AX90" s="287"/>
      <c r="AY90" s="287"/>
    </row>
    <row r="91" spans="1:51" s="171" customFormat="1" ht="15">
      <c r="A91" s="170"/>
      <c r="B91" s="175"/>
      <c r="C91" s="180" t="s">
        <v>568</v>
      </c>
      <c r="D91" s="172"/>
      <c r="E91" s="172">
        <v>3</v>
      </c>
      <c r="F91" s="281">
        <v>2</v>
      </c>
      <c r="G91" s="101">
        <f>9.1+6.55+4.47</f>
        <v>20.119999999999997</v>
      </c>
      <c r="H91" s="101">
        <v>0.3</v>
      </c>
      <c r="I91" s="123"/>
      <c r="J91" s="121">
        <f>TRUNC(E91*F91*G91*H91,2)</f>
        <v>36.21</v>
      </c>
      <c r="K91" s="223"/>
      <c r="L91" s="170"/>
      <c r="M91" s="170"/>
      <c r="N91" s="170"/>
      <c r="O91" s="170"/>
      <c r="P91" s="170"/>
      <c r="Q91" s="170"/>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70"/>
      <c r="AV91" s="170"/>
      <c r="AW91" s="170"/>
      <c r="AX91" s="170"/>
      <c r="AY91" s="170"/>
    </row>
    <row r="92" spans="1:51" s="171" customFormat="1" ht="15">
      <c r="A92" s="170"/>
      <c r="B92" s="175"/>
      <c r="C92" s="180" t="s">
        <v>569</v>
      </c>
      <c r="D92" s="172"/>
      <c r="E92" s="172">
        <v>4</v>
      </c>
      <c r="F92" s="281">
        <v>2</v>
      </c>
      <c r="G92" s="101">
        <f>7+9.4</f>
        <v>16.399999999999999</v>
      </c>
      <c r="H92" s="101">
        <v>0.3</v>
      </c>
      <c r="I92" s="123"/>
      <c r="J92" s="121">
        <f t="shared" ref="J92:J94" si="6">TRUNC(E92*F92*G92*H92,2)</f>
        <v>39.36</v>
      </c>
      <c r="K92" s="223"/>
      <c r="L92" s="170"/>
      <c r="M92" s="170"/>
      <c r="N92" s="170"/>
      <c r="O92" s="170"/>
      <c r="P92" s="170"/>
      <c r="Q92" s="170"/>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70"/>
      <c r="AV92" s="170"/>
      <c r="AW92" s="170"/>
      <c r="AX92" s="170"/>
      <c r="AY92" s="170"/>
    </row>
    <row r="93" spans="1:51" s="171" customFormat="1" ht="15">
      <c r="A93" s="170"/>
      <c r="B93" s="175"/>
      <c r="C93" s="180" t="s">
        <v>570</v>
      </c>
      <c r="D93" s="172"/>
      <c r="E93" s="172">
        <v>2</v>
      </c>
      <c r="F93" s="281">
        <v>2</v>
      </c>
      <c r="G93" s="101">
        <f>5.279</f>
        <v>5.2789999999999999</v>
      </c>
      <c r="H93" s="101">
        <v>0.3</v>
      </c>
      <c r="I93" s="123"/>
      <c r="J93" s="121">
        <f t="shared" si="6"/>
        <v>6.33</v>
      </c>
      <c r="K93" s="223"/>
      <c r="L93" s="170"/>
      <c r="M93" s="170"/>
      <c r="N93" s="170"/>
      <c r="O93" s="170"/>
      <c r="P93" s="170"/>
      <c r="Q93" s="170"/>
      <c r="R93" s="170"/>
      <c r="S93" s="170"/>
      <c r="T93" s="170"/>
      <c r="U93" s="170"/>
      <c r="V93" s="170"/>
      <c r="W93" s="170"/>
      <c r="X93" s="170"/>
      <c r="Y93" s="170"/>
      <c r="Z93" s="170"/>
      <c r="AA93" s="170"/>
      <c r="AB93" s="170"/>
      <c r="AC93" s="170"/>
      <c r="AD93" s="170"/>
      <c r="AE93" s="170"/>
      <c r="AF93" s="170"/>
      <c r="AG93" s="170"/>
      <c r="AH93" s="170"/>
      <c r="AI93" s="170"/>
      <c r="AJ93" s="170"/>
      <c r="AK93" s="170"/>
      <c r="AL93" s="170"/>
      <c r="AM93" s="170"/>
      <c r="AN93" s="170"/>
      <c r="AO93" s="170"/>
      <c r="AP93" s="170"/>
      <c r="AQ93" s="170"/>
      <c r="AR93" s="170"/>
      <c r="AS93" s="170"/>
      <c r="AT93" s="170"/>
      <c r="AU93" s="170"/>
      <c r="AV93" s="170"/>
      <c r="AW93" s="170"/>
      <c r="AX93" s="170"/>
      <c r="AY93" s="170"/>
    </row>
    <row r="94" spans="1:51" s="171" customFormat="1" ht="15">
      <c r="A94" s="170"/>
      <c r="B94" s="175"/>
      <c r="C94" s="180" t="s">
        <v>571</v>
      </c>
      <c r="D94" s="172"/>
      <c r="E94" s="172">
        <v>2</v>
      </c>
      <c r="F94" s="281">
        <v>2</v>
      </c>
      <c r="G94" s="101">
        <v>6.1849999999999996</v>
      </c>
      <c r="H94" s="101">
        <v>0.3</v>
      </c>
      <c r="I94" s="123"/>
      <c r="J94" s="121">
        <f t="shared" si="6"/>
        <v>7.42</v>
      </c>
      <c r="K94" s="223"/>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70"/>
      <c r="AV94" s="170"/>
      <c r="AW94" s="170"/>
      <c r="AX94" s="170"/>
      <c r="AY94" s="170"/>
    </row>
    <row r="95" spans="1:51" s="171" customFormat="1" ht="15">
      <c r="A95" s="170"/>
      <c r="B95" s="175"/>
      <c r="C95" s="176"/>
      <c r="D95" s="172"/>
      <c r="E95" s="172"/>
      <c r="F95" s="101"/>
      <c r="G95" s="101"/>
      <c r="H95" s="101"/>
      <c r="I95" s="123"/>
      <c r="J95" s="121"/>
      <c r="K95" s="223"/>
      <c r="L95" s="170"/>
      <c r="M95" s="170"/>
      <c r="N95" s="170"/>
      <c r="O95" s="170"/>
      <c r="P95" s="170"/>
      <c r="Q95" s="170"/>
      <c r="R95" s="170"/>
      <c r="S95" s="170"/>
      <c r="T95" s="170"/>
      <c r="U95" s="170"/>
      <c r="V95" s="170"/>
      <c r="W95" s="170"/>
      <c r="X95" s="170"/>
      <c r="Y95" s="170"/>
      <c r="Z95" s="170"/>
      <c r="AA95" s="170"/>
      <c r="AB95" s="170"/>
      <c r="AC95" s="170"/>
      <c r="AD95" s="170"/>
      <c r="AE95" s="170"/>
      <c r="AF95" s="170"/>
      <c r="AG95" s="170"/>
      <c r="AH95" s="170"/>
      <c r="AI95" s="170"/>
      <c r="AJ95" s="170"/>
      <c r="AK95" s="170"/>
      <c r="AL95" s="170"/>
      <c r="AM95" s="170"/>
      <c r="AN95" s="170"/>
      <c r="AO95" s="170"/>
      <c r="AP95" s="170"/>
      <c r="AQ95" s="170"/>
      <c r="AR95" s="170"/>
      <c r="AS95" s="170"/>
      <c r="AT95" s="170"/>
      <c r="AU95" s="170"/>
      <c r="AV95" s="170"/>
      <c r="AW95" s="170"/>
      <c r="AX95" s="170"/>
      <c r="AY95" s="170"/>
    </row>
    <row r="96" spans="1:51" s="171" customFormat="1" ht="25.5">
      <c r="A96" s="170"/>
      <c r="B96" s="175" t="s">
        <v>581</v>
      </c>
      <c r="C96" s="278" t="s">
        <v>976</v>
      </c>
      <c r="D96" s="172" t="s">
        <v>557</v>
      </c>
      <c r="E96" s="172"/>
      <c r="F96" s="101"/>
      <c r="G96" s="101"/>
      <c r="H96" s="101"/>
      <c r="I96" s="123" t="s">
        <v>1062</v>
      </c>
      <c r="J96" s="161">
        <f>J97+J104</f>
        <v>24.709999999999997</v>
      </c>
      <c r="K96" s="168"/>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70"/>
      <c r="AV96" s="170"/>
      <c r="AW96" s="170"/>
      <c r="AX96" s="170"/>
      <c r="AY96" s="170"/>
    </row>
    <row r="97" spans="1:51" s="292" customFormat="1" ht="15">
      <c r="A97" s="287"/>
      <c r="B97" s="122"/>
      <c r="C97" s="288" t="s">
        <v>558</v>
      </c>
      <c r="D97" s="289"/>
      <c r="E97" s="289"/>
      <c r="F97" s="290"/>
      <c r="G97" s="290"/>
      <c r="H97" s="290"/>
      <c r="I97" s="123"/>
      <c r="J97" s="161">
        <f>SUM(J98:J103)</f>
        <v>18.029999999999998</v>
      </c>
      <c r="K97" s="291"/>
      <c r="L97" s="287"/>
      <c r="M97" s="287"/>
      <c r="N97" s="287"/>
      <c r="O97" s="287"/>
      <c r="P97" s="287"/>
      <c r="Q97" s="287"/>
      <c r="R97" s="287"/>
      <c r="S97" s="287"/>
      <c r="T97" s="287"/>
      <c r="U97" s="287"/>
      <c r="V97" s="287"/>
      <c r="W97" s="287"/>
      <c r="X97" s="287"/>
      <c r="Y97" s="287"/>
      <c r="Z97" s="287"/>
      <c r="AA97" s="287"/>
      <c r="AB97" s="287"/>
      <c r="AC97" s="287"/>
      <c r="AD97" s="287"/>
      <c r="AE97" s="287"/>
      <c r="AF97" s="287"/>
      <c r="AG97" s="287"/>
      <c r="AH97" s="287"/>
      <c r="AI97" s="287"/>
      <c r="AJ97" s="287"/>
      <c r="AK97" s="287"/>
      <c r="AL97" s="287"/>
      <c r="AM97" s="287"/>
      <c r="AN97" s="287"/>
      <c r="AO97" s="287"/>
      <c r="AP97" s="287"/>
      <c r="AQ97" s="287"/>
      <c r="AR97" s="287"/>
      <c r="AS97" s="287"/>
      <c r="AT97" s="287"/>
      <c r="AU97" s="287"/>
      <c r="AV97" s="287"/>
      <c r="AW97" s="287"/>
      <c r="AX97" s="287"/>
      <c r="AY97" s="287"/>
    </row>
    <row r="98" spans="1:51" s="171" customFormat="1" ht="15">
      <c r="A98" s="170"/>
      <c r="B98" s="175"/>
      <c r="C98" s="180" t="s">
        <v>559</v>
      </c>
      <c r="D98" s="172"/>
      <c r="E98" s="172">
        <v>6</v>
      </c>
      <c r="F98" s="101">
        <v>1</v>
      </c>
      <c r="G98" s="101"/>
      <c r="H98" s="101">
        <v>0.5</v>
      </c>
      <c r="I98" s="123"/>
      <c r="J98" s="121">
        <f>TRUNC(((PI()*F98^2)/4)*H98*E98,2)</f>
        <v>2.35</v>
      </c>
      <c r="K98" s="168"/>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70"/>
      <c r="AV98" s="170"/>
      <c r="AW98" s="170"/>
      <c r="AX98" s="170"/>
      <c r="AY98" s="170"/>
    </row>
    <row r="99" spans="1:51" s="171" customFormat="1" ht="15">
      <c r="A99" s="170"/>
      <c r="B99" s="175"/>
      <c r="C99" s="180" t="s">
        <v>561</v>
      </c>
      <c r="D99" s="172"/>
      <c r="E99" s="172">
        <v>5</v>
      </c>
      <c r="F99" s="101">
        <v>1.2</v>
      </c>
      <c r="G99" s="101"/>
      <c r="H99" s="101">
        <v>0.55000000000000004</v>
      </c>
      <c r="I99" s="123"/>
      <c r="J99" s="121">
        <f t="shared" ref="J99:J100" si="7">TRUNC(((PI()*F99^2)/4)*H99*E99,2)</f>
        <v>3.11</v>
      </c>
      <c r="K99" s="168"/>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70"/>
      <c r="AV99" s="170"/>
      <c r="AW99" s="170"/>
      <c r="AX99" s="170"/>
      <c r="AY99" s="170"/>
    </row>
    <row r="100" spans="1:51" s="171" customFormat="1" ht="15">
      <c r="A100" s="170"/>
      <c r="B100" s="175"/>
      <c r="C100" s="180" t="s">
        <v>562</v>
      </c>
      <c r="D100" s="172"/>
      <c r="E100" s="172">
        <v>2</v>
      </c>
      <c r="F100" s="101">
        <v>1.5</v>
      </c>
      <c r="G100" s="101"/>
      <c r="H100" s="101">
        <v>0.75</v>
      </c>
      <c r="I100" s="123"/>
      <c r="J100" s="121">
        <f t="shared" si="7"/>
        <v>2.65</v>
      </c>
      <c r="K100" s="168"/>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70"/>
      <c r="AV100" s="170"/>
      <c r="AW100" s="170"/>
      <c r="AX100" s="170"/>
      <c r="AY100" s="170"/>
    </row>
    <row r="101" spans="1:51" s="171" customFormat="1" ht="15">
      <c r="A101" s="170"/>
      <c r="B101" s="175"/>
      <c r="C101" s="180" t="s">
        <v>563</v>
      </c>
      <c r="D101" s="172"/>
      <c r="E101" s="172">
        <v>1</v>
      </c>
      <c r="F101" s="101">
        <f>1.8</f>
        <v>1.8</v>
      </c>
      <c r="G101" s="101">
        <f>1.8</f>
        <v>1.8</v>
      </c>
      <c r="H101" s="101">
        <v>0.8</v>
      </c>
      <c r="I101" s="123"/>
      <c r="J101" s="121">
        <f>TRUNC(E101*F101*G101*H101,2)</f>
        <v>2.59</v>
      </c>
      <c r="K101" s="168"/>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70"/>
      <c r="AV101" s="170"/>
      <c r="AW101" s="170"/>
      <c r="AX101" s="170"/>
      <c r="AY101" s="170"/>
    </row>
    <row r="102" spans="1:51" s="171" customFormat="1" ht="15">
      <c r="A102" s="170"/>
      <c r="B102" s="175"/>
      <c r="C102" s="180" t="s">
        <v>565</v>
      </c>
      <c r="D102" s="172"/>
      <c r="E102" s="172">
        <v>1</v>
      </c>
      <c r="F102" s="101">
        <f>1.6</f>
        <v>1.6</v>
      </c>
      <c r="G102" s="101">
        <f>1.6</f>
        <v>1.6</v>
      </c>
      <c r="H102" s="101">
        <v>0.8</v>
      </c>
      <c r="I102" s="123"/>
      <c r="J102" s="121">
        <f t="shared" ref="J102:J103" si="8">TRUNC(E102*F102*G102*H102,2)</f>
        <v>2.04</v>
      </c>
      <c r="K102" s="168"/>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70"/>
      <c r="AV102" s="170"/>
      <c r="AW102" s="170"/>
      <c r="AX102" s="170"/>
      <c r="AY102" s="170"/>
    </row>
    <row r="103" spans="1:51" s="171" customFormat="1" ht="15">
      <c r="A103" s="170"/>
      <c r="B103" s="175"/>
      <c r="C103" s="180" t="s">
        <v>566</v>
      </c>
      <c r="D103" s="172"/>
      <c r="E103" s="172">
        <v>1</v>
      </c>
      <c r="F103" s="101">
        <f>2.3</f>
        <v>2.2999999999999998</v>
      </c>
      <c r="G103" s="101">
        <f>2.3</f>
        <v>2.2999999999999998</v>
      </c>
      <c r="H103" s="101">
        <v>1</v>
      </c>
      <c r="I103" s="123"/>
      <c r="J103" s="121">
        <f t="shared" si="8"/>
        <v>5.29</v>
      </c>
      <c r="K103" s="168"/>
      <c r="L103" s="170"/>
      <c r="M103" s="170"/>
      <c r="N103" s="170"/>
      <c r="O103" s="170"/>
      <c r="P103" s="170"/>
      <c r="Q103" s="170"/>
      <c r="R103" s="170"/>
      <c r="S103" s="170"/>
      <c r="T103" s="170"/>
      <c r="U103" s="170"/>
      <c r="V103" s="170"/>
      <c r="W103" s="170"/>
      <c r="X103" s="170"/>
      <c r="Y103" s="170"/>
      <c r="Z103" s="170"/>
      <c r="AA103" s="170"/>
      <c r="AB103" s="170"/>
      <c r="AC103" s="170"/>
      <c r="AD103" s="170"/>
      <c r="AE103" s="170"/>
      <c r="AF103" s="170"/>
      <c r="AG103" s="170"/>
      <c r="AH103" s="170"/>
      <c r="AI103" s="170"/>
      <c r="AJ103" s="170"/>
      <c r="AK103" s="170"/>
      <c r="AL103" s="170"/>
      <c r="AM103" s="170"/>
      <c r="AN103" s="170"/>
      <c r="AO103" s="170"/>
      <c r="AP103" s="170"/>
      <c r="AQ103" s="170"/>
      <c r="AR103" s="170"/>
      <c r="AS103" s="170"/>
      <c r="AT103" s="170"/>
      <c r="AU103" s="170"/>
      <c r="AV103" s="170"/>
      <c r="AW103" s="170"/>
      <c r="AX103" s="170"/>
      <c r="AY103" s="170"/>
    </row>
    <row r="104" spans="1:51" s="292" customFormat="1" ht="15">
      <c r="A104" s="287"/>
      <c r="B104" s="122"/>
      <c r="C104" s="288" t="s">
        <v>567</v>
      </c>
      <c r="D104" s="289"/>
      <c r="E104" s="289"/>
      <c r="F104" s="290"/>
      <c r="G104" s="290"/>
      <c r="H104" s="290"/>
      <c r="I104" s="123"/>
      <c r="J104" s="161">
        <f>SUM(J105:J108)</f>
        <v>6.68</v>
      </c>
      <c r="K104" s="291"/>
      <c r="L104" s="287"/>
      <c r="M104" s="287"/>
      <c r="N104" s="287"/>
      <c r="O104" s="287"/>
      <c r="P104" s="287"/>
      <c r="Q104" s="287"/>
      <c r="R104" s="287"/>
      <c r="S104" s="287"/>
      <c r="T104" s="287"/>
      <c r="U104" s="287"/>
      <c r="V104" s="287"/>
      <c r="W104" s="287"/>
      <c r="X104" s="287"/>
      <c r="Y104" s="287"/>
      <c r="Z104" s="287"/>
      <c r="AA104" s="287"/>
      <c r="AB104" s="287"/>
      <c r="AC104" s="287"/>
      <c r="AD104" s="287"/>
      <c r="AE104" s="287"/>
      <c r="AF104" s="287"/>
      <c r="AG104" s="287"/>
      <c r="AH104" s="287"/>
      <c r="AI104" s="287"/>
      <c r="AJ104" s="287"/>
      <c r="AK104" s="287"/>
      <c r="AL104" s="287"/>
      <c r="AM104" s="287"/>
      <c r="AN104" s="287"/>
      <c r="AO104" s="287"/>
      <c r="AP104" s="287"/>
      <c r="AQ104" s="287"/>
      <c r="AR104" s="287"/>
      <c r="AS104" s="287"/>
      <c r="AT104" s="287"/>
      <c r="AU104" s="287"/>
      <c r="AV104" s="287"/>
      <c r="AW104" s="287"/>
      <c r="AX104" s="287"/>
      <c r="AY104" s="287"/>
    </row>
    <row r="105" spans="1:51" s="171" customFormat="1" ht="15">
      <c r="A105" s="170"/>
      <c r="B105" s="175"/>
      <c r="C105" s="180" t="s">
        <v>568</v>
      </c>
      <c r="D105" s="172"/>
      <c r="E105" s="172">
        <v>3</v>
      </c>
      <c r="F105" s="101">
        <f>0.15</f>
        <v>0.15</v>
      </c>
      <c r="G105" s="101">
        <f>9.1+6.55+4.47</f>
        <v>20.119999999999997</v>
      </c>
      <c r="H105" s="101">
        <v>0.3</v>
      </c>
      <c r="I105" s="123"/>
      <c r="J105" s="121">
        <f t="shared" ref="J105:J108" si="9">TRUNC(E105*F105*G105*H105,2)</f>
        <v>2.71</v>
      </c>
      <c r="K105" s="168"/>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70"/>
      <c r="AV105" s="170"/>
      <c r="AW105" s="170"/>
      <c r="AX105" s="170"/>
      <c r="AY105" s="170"/>
    </row>
    <row r="106" spans="1:51" s="171" customFormat="1" ht="15">
      <c r="A106" s="170"/>
      <c r="B106" s="175"/>
      <c r="C106" s="180" t="s">
        <v>569</v>
      </c>
      <c r="D106" s="172"/>
      <c r="E106" s="172">
        <v>4</v>
      </c>
      <c r="F106" s="101">
        <f t="shared" ref="F106:F108" si="10">0.15</f>
        <v>0.15</v>
      </c>
      <c r="G106" s="101">
        <f>7+9.4</f>
        <v>16.399999999999999</v>
      </c>
      <c r="H106" s="101">
        <v>0.3</v>
      </c>
      <c r="I106" s="123"/>
      <c r="J106" s="121">
        <f t="shared" si="9"/>
        <v>2.95</v>
      </c>
      <c r="K106" s="168"/>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70"/>
      <c r="AV106" s="170"/>
      <c r="AW106" s="170"/>
      <c r="AX106" s="170"/>
      <c r="AY106" s="170"/>
    </row>
    <row r="107" spans="1:51" s="171" customFormat="1" ht="15">
      <c r="A107" s="170"/>
      <c r="B107" s="175"/>
      <c r="C107" s="180" t="s">
        <v>570</v>
      </c>
      <c r="D107" s="172"/>
      <c r="E107" s="172">
        <v>2</v>
      </c>
      <c r="F107" s="101">
        <f t="shared" si="10"/>
        <v>0.15</v>
      </c>
      <c r="G107" s="101">
        <f>5.279</f>
        <v>5.2789999999999999</v>
      </c>
      <c r="H107" s="101">
        <v>0.3</v>
      </c>
      <c r="I107" s="123"/>
      <c r="J107" s="121">
        <f t="shared" si="9"/>
        <v>0.47</v>
      </c>
      <c r="K107" s="168"/>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70"/>
      <c r="AV107" s="170"/>
      <c r="AW107" s="170"/>
      <c r="AX107" s="170"/>
      <c r="AY107" s="170"/>
    </row>
    <row r="108" spans="1:51" s="171" customFormat="1" ht="15">
      <c r="A108" s="170"/>
      <c r="B108" s="175"/>
      <c r="C108" s="180" t="s">
        <v>571</v>
      </c>
      <c r="D108" s="172"/>
      <c r="E108" s="172">
        <v>2</v>
      </c>
      <c r="F108" s="101">
        <f t="shared" si="10"/>
        <v>0.15</v>
      </c>
      <c r="G108" s="101">
        <v>6.1849999999999996</v>
      </c>
      <c r="H108" s="101">
        <v>0.3</v>
      </c>
      <c r="I108" s="123"/>
      <c r="J108" s="121">
        <f t="shared" si="9"/>
        <v>0.55000000000000004</v>
      </c>
      <c r="K108" s="168"/>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70"/>
      <c r="AV108" s="170"/>
      <c r="AW108" s="170"/>
      <c r="AX108" s="170"/>
      <c r="AY108" s="170"/>
    </row>
    <row r="109" spans="1:51" s="171" customFormat="1" ht="15">
      <c r="A109" s="170"/>
      <c r="B109" s="175"/>
      <c r="C109" s="176"/>
      <c r="D109" s="172"/>
      <c r="E109" s="172"/>
      <c r="F109" s="101"/>
      <c r="G109" s="101"/>
      <c r="H109" s="101"/>
      <c r="I109" s="123"/>
      <c r="J109" s="121"/>
      <c r="K109" s="223"/>
      <c r="L109" s="170"/>
      <c r="M109" s="170"/>
      <c r="N109" s="170"/>
      <c r="O109" s="170"/>
      <c r="P109" s="170"/>
      <c r="Q109" s="170"/>
      <c r="R109" s="170"/>
      <c r="S109" s="170"/>
      <c r="T109" s="170"/>
      <c r="U109" s="170"/>
      <c r="V109" s="170"/>
      <c r="W109" s="170"/>
      <c r="X109" s="170"/>
      <c r="Y109" s="170"/>
      <c r="Z109" s="170"/>
      <c r="AA109" s="170"/>
      <c r="AB109" s="170"/>
      <c r="AC109" s="170"/>
      <c r="AD109" s="170"/>
      <c r="AE109" s="170"/>
      <c r="AF109" s="170"/>
      <c r="AG109" s="170"/>
      <c r="AH109" s="170"/>
      <c r="AI109" s="170"/>
      <c r="AJ109" s="170"/>
      <c r="AK109" s="170"/>
      <c r="AL109" s="170"/>
      <c r="AM109" s="170"/>
      <c r="AN109" s="170"/>
      <c r="AO109" s="170"/>
      <c r="AP109" s="170"/>
      <c r="AQ109" s="170"/>
      <c r="AR109" s="170"/>
      <c r="AS109" s="170"/>
      <c r="AT109" s="170"/>
      <c r="AU109" s="170"/>
      <c r="AV109" s="170"/>
      <c r="AW109" s="170"/>
      <c r="AX109" s="170"/>
      <c r="AY109" s="170"/>
    </row>
    <row r="110" spans="1:51" ht="25.5">
      <c r="B110" s="175" t="s">
        <v>582</v>
      </c>
      <c r="C110" s="278" t="s">
        <v>965</v>
      </c>
      <c r="D110" s="172" t="s">
        <v>557</v>
      </c>
      <c r="E110" s="172"/>
      <c r="F110" s="101"/>
      <c r="G110" s="101"/>
      <c r="H110" s="101"/>
      <c r="I110" s="123" t="s">
        <v>1062</v>
      </c>
      <c r="J110" s="161">
        <f>J111+J118</f>
        <v>24.709999999999997</v>
      </c>
    </row>
    <row r="111" spans="1:51" s="292" customFormat="1" ht="15">
      <c r="A111" s="287"/>
      <c r="B111" s="122"/>
      <c r="C111" s="288" t="s">
        <v>558</v>
      </c>
      <c r="D111" s="289"/>
      <c r="E111" s="289"/>
      <c r="F111" s="290"/>
      <c r="G111" s="290"/>
      <c r="H111" s="290"/>
      <c r="I111" s="123"/>
      <c r="J111" s="161">
        <f>SUM(J112:J117)</f>
        <v>18.029999999999998</v>
      </c>
      <c r="K111" s="291"/>
      <c r="L111" s="287"/>
      <c r="M111" s="287"/>
      <c r="N111" s="287"/>
      <c r="O111" s="287"/>
      <c r="P111" s="287"/>
      <c r="Q111" s="287"/>
      <c r="R111" s="287"/>
      <c r="S111" s="287"/>
      <c r="T111" s="287"/>
      <c r="U111" s="287"/>
      <c r="V111" s="287"/>
      <c r="W111" s="287"/>
      <c r="X111" s="287"/>
      <c r="Y111" s="287"/>
      <c r="Z111" s="287"/>
      <c r="AA111" s="287"/>
      <c r="AB111" s="287"/>
      <c r="AC111" s="287"/>
      <c r="AD111" s="287"/>
      <c r="AE111" s="287"/>
      <c r="AF111" s="287"/>
      <c r="AG111" s="287"/>
      <c r="AH111" s="287"/>
      <c r="AI111" s="287"/>
      <c r="AJ111" s="287"/>
      <c r="AK111" s="287"/>
      <c r="AL111" s="287"/>
      <c r="AM111" s="287"/>
      <c r="AN111" s="287"/>
      <c r="AO111" s="287"/>
      <c r="AP111" s="287"/>
      <c r="AQ111" s="287"/>
      <c r="AR111" s="287"/>
      <c r="AS111" s="287"/>
      <c r="AT111" s="287"/>
      <c r="AU111" s="287"/>
      <c r="AV111" s="287"/>
      <c r="AW111" s="287"/>
      <c r="AX111" s="287"/>
      <c r="AY111" s="287"/>
    </row>
    <row r="112" spans="1:51" ht="15">
      <c r="B112" s="175"/>
      <c r="C112" s="180" t="s">
        <v>559</v>
      </c>
      <c r="D112" s="172"/>
      <c r="E112" s="172">
        <v>6</v>
      </c>
      <c r="F112" s="101">
        <v>1</v>
      </c>
      <c r="G112" s="101"/>
      <c r="H112" s="101">
        <v>0.5</v>
      </c>
      <c r="I112" s="123"/>
      <c r="J112" s="121">
        <f>TRUNC(((PI()*F112^2)/4)*H112*E112,2)</f>
        <v>2.35</v>
      </c>
    </row>
    <row r="113" spans="1:51" ht="15">
      <c r="B113" s="175"/>
      <c r="C113" s="180" t="s">
        <v>561</v>
      </c>
      <c r="D113" s="172"/>
      <c r="E113" s="172">
        <v>5</v>
      </c>
      <c r="F113" s="101">
        <v>1.2</v>
      </c>
      <c r="G113" s="101"/>
      <c r="H113" s="101">
        <v>0.55000000000000004</v>
      </c>
      <c r="I113" s="123"/>
      <c r="J113" s="121">
        <f t="shared" ref="J113:J114" si="11">TRUNC(((PI()*F113^2)/4)*H113*E113,2)</f>
        <v>3.11</v>
      </c>
    </row>
    <row r="114" spans="1:51" ht="15">
      <c r="B114" s="175"/>
      <c r="C114" s="180" t="s">
        <v>562</v>
      </c>
      <c r="D114" s="172"/>
      <c r="E114" s="172">
        <v>2</v>
      </c>
      <c r="F114" s="101">
        <v>1.5</v>
      </c>
      <c r="G114" s="101"/>
      <c r="H114" s="101">
        <v>0.75</v>
      </c>
      <c r="I114" s="123"/>
      <c r="J114" s="121">
        <f t="shared" si="11"/>
        <v>2.65</v>
      </c>
    </row>
    <row r="115" spans="1:51" ht="15">
      <c r="B115" s="175"/>
      <c r="C115" s="180" t="s">
        <v>563</v>
      </c>
      <c r="D115" s="172"/>
      <c r="E115" s="172">
        <v>1</v>
      </c>
      <c r="F115" s="101">
        <f>1.8</f>
        <v>1.8</v>
      </c>
      <c r="G115" s="101">
        <f>1.8</f>
        <v>1.8</v>
      </c>
      <c r="H115" s="101">
        <v>0.8</v>
      </c>
      <c r="I115" s="123"/>
      <c r="J115" s="121">
        <f>TRUNC(E115*F115*G115*H115,2)</f>
        <v>2.59</v>
      </c>
    </row>
    <row r="116" spans="1:51" ht="15">
      <c r="B116" s="175"/>
      <c r="C116" s="180" t="s">
        <v>565</v>
      </c>
      <c r="D116" s="172"/>
      <c r="E116" s="172">
        <v>1</v>
      </c>
      <c r="F116" s="101">
        <f>1.6</f>
        <v>1.6</v>
      </c>
      <c r="G116" s="101">
        <f>1.6</f>
        <v>1.6</v>
      </c>
      <c r="H116" s="101">
        <v>0.8</v>
      </c>
      <c r="I116" s="123"/>
      <c r="J116" s="121">
        <f t="shared" ref="J116:J117" si="12">TRUNC(E116*F116*G116*H116,2)</f>
        <v>2.04</v>
      </c>
    </row>
    <row r="117" spans="1:51" ht="15">
      <c r="B117" s="175"/>
      <c r="C117" s="180" t="s">
        <v>566</v>
      </c>
      <c r="D117" s="172"/>
      <c r="E117" s="172">
        <v>1</v>
      </c>
      <c r="F117" s="101">
        <f>2.3</f>
        <v>2.2999999999999998</v>
      </c>
      <c r="G117" s="101">
        <f>2.3</f>
        <v>2.2999999999999998</v>
      </c>
      <c r="H117" s="101">
        <v>1</v>
      </c>
      <c r="I117" s="123"/>
      <c r="J117" s="121">
        <f t="shared" si="12"/>
        <v>5.29</v>
      </c>
    </row>
    <row r="118" spans="1:51" s="292" customFormat="1" ht="15">
      <c r="A118" s="287"/>
      <c r="B118" s="122"/>
      <c r="C118" s="288" t="s">
        <v>567</v>
      </c>
      <c r="D118" s="289"/>
      <c r="E118" s="289"/>
      <c r="F118" s="290"/>
      <c r="G118" s="290"/>
      <c r="H118" s="290"/>
      <c r="I118" s="123"/>
      <c r="J118" s="161">
        <f>SUM(J119:J122)</f>
        <v>6.68</v>
      </c>
      <c r="K118" s="291"/>
      <c r="L118" s="287"/>
      <c r="M118" s="287"/>
      <c r="N118" s="287"/>
      <c r="O118" s="287"/>
      <c r="P118" s="287"/>
      <c r="Q118" s="287"/>
      <c r="R118" s="287"/>
      <c r="S118" s="287"/>
      <c r="T118" s="287"/>
      <c r="U118" s="287"/>
      <c r="V118" s="287"/>
      <c r="W118" s="287"/>
      <c r="X118" s="287"/>
      <c r="Y118" s="287"/>
      <c r="Z118" s="287"/>
      <c r="AA118" s="287"/>
      <c r="AB118" s="287"/>
      <c r="AC118" s="287"/>
      <c r="AD118" s="287"/>
      <c r="AE118" s="287"/>
      <c r="AF118" s="287"/>
      <c r="AG118" s="287"/>
      <c r="AH118" s="287"/>
      <c r="AI118" s="287"/>
      <c r="AJ118" s="287"/>
      <c r="AK118" s="287"/>
      <c r="AL118" s="287"/>
      <c r="AM118" s="287"/>
      <c r="AN118" s="287"/>
      <c r="AO118" s="287"/>
      <c r="AP118" s="287"/>
      <c r="AQ118" s="287"/>
      <c r="AR118" s="287"/>
      <c r="AS118" s="287"/>
      <c r="AT118" s="287"/>
      <c r="AU118" s="287"/>
      <c r="AV118" s="287"/>
      <c r="AW118" s="287"/>
      <c r="AX118" s="287"/>
      <c r="AY118" s="287"/>
    </row>
    <row r="119" spans="1:51" ht="15">
      <c r="B119" s="175"/>
      <c r="C119" s="180" t="s">
        <v>568</v>
      </c>
      <c r="D119" s="172"/>
      <c r="E119" s="172">
        <v>3</v>
      </c>
      <c r="F119" s="101">
        <f>0.15</f>
        <v>0.15</v>
      </c>
      <c r="G119" s="101">
        <f>9.1+6.55+4.47</f>
        <v>20.119999999999997</v>
      </c>
      <c r="H119" s="101">
        <v>0.3</v>
      </c>
      <c r="I119" s="123"/>
      <c r="J119" s="121">
        <f t="shared" ref="J119:J122" si="13">TRUNC(E119*F119*G119*H119,2)</f>
        <v>2.71</v>
      </c>
    </row>
    <row r="120" spans="1:51" ht="15">
      <c r="B120" s="175"/>
      <c r="C120" s="180" t="s">
        <v>569</v>
      </c>
      <c r="D120" s="172"/>
      <c r="E120" s="172">
        <v>4</v>
      </c>
      <c r="F120" s="101">
        <f t="shared" ref="F120:F122" si="14">0.15</f>
        <v>0.15</v>
      </c>
      <c r="G120" s="101">
        <f>7+9.4</f>
        <v>16.399999999999999</v>
      </c>
      <c r="H120" s="101">
        <v>0.3</v>
      </c>
      <c r="I120" s="123"/>
      <c r="J120" s="121">
        <f t="shared" si="13"/>
        <v>2.95</v>
      </c>
    </row>
    <row r="121" spans="1:51" ht="15">
      <c r="B121" s="175"/>
      <c r="C121" s="180" t="s">
        <v>570</v>
      </c>
      <c r="D121" s="172"/>
      <c r="E121" s="172">
        <v>2</v>
      </c>
      <c r="F121" s="101">
        <f t="shared" si="14"/>
        <v>0.15</v>
      </c>
      <c r="G121" s="101">
        <f>5.279</f>
        <v>5.2789999999999999</v>
      </c>
      <c r="H121" s="101">
        <v>0.3</v>
      </c>
      <c r="I121" s="123"/>
      <c r="J121" s="121">
        <f t="shared" si="13"/>
        <v>0.47</v>
      </c>
    </row>
    <row r="122" spans="1:51" ht="15">
      <c r="B122" s="175"/>
      <c r="C122" s="180" t="s">
        <v>571</v>
      </c>
      <c r="D122" s="172"/>
      <c r="E122" s="172">
        <v>2</v>
      </c>
      <c r="F122" s="101">
        <f t="shared" si="14"/>
        <v>0.15</v>
      </c>
      <c r="G122" s="101">
        <v>6.1849999999999996</v>
      </c>
      <c r="H122" s="101">
        <v>0.3</v>
      </c>
      <c r="I122" s="123"/>
      <c r="J122" s="121">
        <f t="shared" si="13"/>
        <v>0.55000000000000004</v>
      </c>
    </row>
    <row r="123" spans="1:51" s="171" customFormat="1" ht="15">
      <c r="A123" s="170"/>
      <c r="B123" s="175"/>
      <c r="C123" s="180"/>
      <c r="D123" s="172"/>
      <c r="E123" s="172"/>
      <c r="F123" s="101"/>
      <c r="G123" s="101"/>
      <c r="H123" s="101"/>
      <c r="I123" s="123"/>
      <c r="J123" s="121"/>
      <c r="K123" s="168"/>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70"/>
      <c r="AV123" s="170"/>
      <c r="AW123" s="170"/>
      <c r="AX123" s="170"/>
      <c r="AY123" s="170"/>
    </row>
    <row r="124" spans="1:51" ht="15">
      <c r="B124" s="175" t="s">
        <v>586</v>
      </c>
      <c r="C124" s="176" t="s">
        <v>583</v>
      </c>
      <c r="D124" s="172" t="s">
        <v>584</v>
      </c>
      <c r="E124" s="172"/>
      <c r="F124" s="101"/>
      <c r="G124" s="101"/>
      <c r="H124" s="101"/>
      <c r="I124" s="176" t="s">
        <v>585</v>
      </c>
      <c r="J124" s="121">
        <v>453.04</v>
      </c>
    </row>
    <row r="125" spans="1:51" ht="15">
      <c r="B125" s="175" t="s">
        <v>588</v>
      </c>
      <c r="C125" s="176" t="s">
        <v>587</v>
      </c>
      <c r="D125" s="172" t="s">
        <v>584</v>
      </c>
      <c r="E125" s="172"/>
      <c r="F125" s="101"/>
      <c r="G125" s="101"/>
      <c r="H125" s="101"/>
      <c r="I125" s="176" t="s">
        <v>585</v>
      </c>
      <c r="J125" s="121">
        <v>107.1</v>
      </c>
    </row>
    <row r="126" spans="1:51" ht="15">
      <c r="B126" s="175" t="s">
        <v>1067</v>
      </c>
      <c r="C126" s="176" t="s">
        <v>589</v>
      </c>
      <c r="D126" s="172" t="s">
        <v>584</v>
      </c>
      <c r="E126" s="172"/>
      <c r="F126" s="101"/>
      <c r="G126" s="101"/>
      <c r="H126" s="101"/>
      <c r="I126" s="176" t="s">
        <v>585</v>
      </c>
      <c r="J126" s="121">
        <v>510.24</v>
      </c>
    </row>
    <row r="127" spans="1:51" ht="15">
      <c r="B127" s="118">
        <v>5</v>
      </c>
      <c r="C127" s="71" t="s">
        <v>590</v>
      </c>
      <c r="D127" s="71"/>
      <c r="E127" s="71"/>
      <c r="F127" s="107"/>
      <c r="G127" s="107"/>
      <c r="H127" s="107"/>
      <c r="I127" s="70"/>
      <c r="J127" s="120"/>
    </row>
    <row r="128" spans="1:51" ht="15">
      <c r="B128" s="125" t="s">
        <v>591</v>
      </c>
      <c r="C128" s="72" t="s">
        <v>592</v>
      </c>
      <c r="D128" s="73"/>
      <c r="E128" s="73"/>
      <c r="F128" s="109"/>
      <c r="G128" s="109"/>
      <c r="H128" s="109"/>
      <c r="I128" s="173"/>
      <c r="J128" s="227"/>
    </row>
    <row r="129" spans="1:51" ht="25.5">
      <c r="B129" s="175" t="s">
        <v>593</v>
      </c>
      <c r="C129" s="278" t="s">
        <v>1068</v>
      </c>
      <c r="D129" s="172" t="s">
        <v>594</v>
      </c>
      <c r="E129" s="172"/>
      <c r="F129" s="101"/>
      <c r="G129" s="101"/>
      <c r="H129" s="101"/>
      <c r="I129" s="176" t="s">
        <v>595</v>
      </c>
      <c r="J129" s="228">
        <f>SUM(J130:J149)</f>
        <v>32674.731099999994</v>
      </c>
    </row>
    <row r="130" spans="1:51" s="171" customFormat="1" ht="15">
      <c r="A130" s="170"/>
      <c r="B130" s="175"/>
      <c r="C130" s="278" t="s">
        <v>1173</v>
      </c>
      <c r="D130" s="172" t="s">
        <v>1180</v>
      </c>
      <c r="E130" s="172">
        <v>12</v>
      </c>
      <c r="F130" s="101">
        <v>62</v>
      </c>
      <c r="G130" s="101">
        <v>7.35</v>
      </c>
      <c r="H130" s="101"/>
      <c r="I130" s="176"/>
      <c r="J130" s="228">
        <f>E130*F130*G130</f>
        <v>5468.4</v>
      </c>
      <c r="K130" s="168"/>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70"/>
      <c r="AV130" s="170"/>
      <c r="AW130" s="170"/>
      <c r="AX130" s="170"/>
      <c r="AY130" s="170"/>
    </row>
    <row r="131" spans="1:51" s="171" customFormat="1" ht="15">
      <c r="A131" s="170"/>
      <c r="B131" s="175"/>
      <c r="C131" s="278" t="s">
        <v>1189</v>
      </c>
      <c r="D131" s="172" t="s">
        <v>1190</v>
      </c>
      <c r="E131" s="172">
        <v>4</v>
      </c>
      <c r="F131" s="101">
        <v>35.9</v>
      </c>
      <c r="G131" s="101">
        <v>7.35</v>
      </c>
      <c r="H131" s="101"/>
      <c r="I131" s="176"/>
      <c r="J131" s="228">
        <f>E131*F131*G131</f>
        <v>1055.4599999999998</v>
      </c>
      <c r="K131" s="168"/>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70"/>
      <c r="AV131" s="170"/>
      <c r="AW131" s="170"/>
      <c r="AX131" s="170"/>
      <c r="AY131" s="170"/>
    </row>
    <row r="132" spans="1:51" s="171" customFormat="1" ht="15">
      <c r="A132" s="170"/>
      <c r="B132" s="175"/>
      <c r="C132" s="278" t="s">
        <v>1174</v>
      </c>
      <c r="D132" s="172" t="s">
        <v>1181</v>
      </c>
      <c r="E132" s="172">
        <v>1</v>
      </c>
      <c r="F132" s="101">
        <v>74</v>
      </c>
      <c r="G132" s="101">
        <v>16.399999999999999</v>
      </c>
      <c r="H132" s="101"/>
      <c r="I132" s="176"/>
      <c r="J132" s="228">
        <f t="shared" ref="J132:J148" si="15">E132*F132*G132</f>
        <v>1213.5999999999999</v>
      </c>
      <c r="K132" s="168"/>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70"/>
      <c r="AV132" s="170"/>
      <c r="AW132" s="170"/>
      <c r="AX132" s="170"/>
      <c r="AY132" s="170"/>
    </row>
    <row r="133" spans="1:51" s="171" customFormat="1" ht="15">
      <c r="A133" s="170"/>
      <c r="B133" s="175"/>
      <c r="C133" s="278" t="s">
        <v>1175</v>
      </c>
      <c r="D133" s="172" t="s">
        <v>1182</v>
      </c>
      <c r="E133" s="172">
        <v>2</v>
      </c>
      <c r="F133" s="101">
        <v>101</v>
      </c>
      <c r="G133" s="101">
        <v>16.399999999999999</v>
      </c>
      <c r="H133" s="101"/>
      <c r="I133" s="176"/>
      <c r="J133" s="228">
        <f t="shared" si="15"/>
        <v>3312.7999999999997</v>
      </c>
      <c r="K133" s="168"/>
      <c r="L133" s="170"/>
      <c r="M133" s="170"/>
      <c r="N133" s="170"/>
      <c r="O133" s="170"/>
      <c r="P133" s="170"/>
      <c r="Q133" s="170"/>
      <c r="R133" s="170"/>
      <c r="S133" s="170"/>
      <c r="T133" s="170"/>
      <c r="U133" s="170"/>
      <c r="V133" s="170"/>
      <c r="W133" s="170"/>
      <c r="X133" s="170"/>
      <c r="Y133" s="170"/>
      <c r="Z133" s="170"/>
      <c r="AA133" s="170"/>
      <c r="AB133" s="170"/>
      <c r="AC133" s="170"/>
      <c r="AD133" s="170"/>
      <c r="AE133" s="170"/>
      <c r="AF133" s="170"/>
      <c r="AG133" s="170"/>
      <c r="AH133" s="170"/>
      <c r="AI133" s="170"/>
      <c r="AJ133" s="170"/>
      <c r="AK133" s="170"/>
      <c r="AL133" s="170"/>
      <c r="AM133" s="170"/>
      <c r="AN133" s="170"/>
      <c r="AO133" s="170"/>
      <c r="AP133" s="170"/>
      <c r="AQ133" s="170"/>
      <c r="AR133" s="170"/>
      <c r="AS133" s="170"/>
      <c r="AT133" s="170"/>
      <c r="AU133" s="170"/>
      <c r="AV133" s="170"/>
      <c r="AW133" s="170"/>
      <c r="AX133" s="170"/>
      <c r="AY133" s="170"/>
    </row>
    <row r="134" spans="1:51" s="171" customFormat="1" ht="15">
      <c r="A134" s="170"/>
      <c r="B134" s="175"/>
      <c r="C134" s="278" t="s">
        <v>1176</v>
      </c>
      <c r="D134" s="172" t="s">
        <v>1183</v>
      </c>
      <c r="E134" s="172">
        <v>1</v>
      </c>
      <c r="F134" s="101">
        <v>82</v>
      </c>
      <c r="G134" s="101">
        <v>16.399999999999999</v>
      </c>
      <c r="H134" s="101"/>
      <c r="I134" s="176"/>
      <c r="J134" s="228">
        <f t="shared" si="15"/>
        <v>1344.8</v>
      </c>
      <c r="K134" s="168"/>
      <c r="L134" s="170"/>
      <c r="M134" s="170"/>
      <c r="N134" s="170"/>
      <c r="O134" s="170"/>
      <c r="P134" s="170"/>
      <c r="Q134" s="170"/>
      <c r="R134" s="170"/>
      <c r="S134" s="170"/>
      <c r="T134" s="170"/>
      <c r="U134" s="170"/>
      <c r="V134" s="170"/>
      <c r="W134" s="170"/>
      <c r="X134" s="170"/>
      <c r="Y134" s="170"/>
      <c r="Z134" s="170"/>
      <c r="AA134" s="170"/>
      <c r="AB134" s="170"/>
      <c r="AC134" s="170"/>
      <c r="AD134" s="170"/>
      <c r="AE134" s="170"/>
      <c r="AF134" s="170"/>
      <c r="AG134" s="170"/>
      <c r="AH134" s="170"/>
      <c r="AI134" s="170"/>
      <c r="AJ134" s="170"/>
      <c r="AK134" s="170"/>
      <c r="AL134" s="170"/>
      <c r="AM134" s="170"/>
      <c r="AN134" s="170"/>
      <c r="AO134" s="170"/>
      <c r="AP134" s="170"/>
      <c r="AQ134" s="170"/>
      <c r="AR134" s="170"/>
      <c r="AS134" s="170"/>
      <c r="AT134" s="170"/>
      <c r="AU134" s="170"/>
      <c r="AV134" s="170"/>
      <c r="AW134" s="170"/>
      <c r="AX134" s="170"/>
      <c r="AY134" s="170"/>
    </row>
    <row r="135" spans="1:51" s="171" customFormat="1" ht="15">
      <c r="A135" s="170"/>
      <c r="B135" s="175"/>
      <c r="C135" s="278" t="s">
        <v>1177</v>
      </c>
      <c r="D135" s="172" t="s">
        <v>1184</v>
      </c>
      <c r="E135" s="172">
        <v>8</v>
      </c>
      <c r="F135" s="101">
        <v>22.3</v>
      </c>
      <c r="G135" s="101">
        <v>4.5</v>
      </c>
      <c r="H135" s="101"/>
      <c r="I135" s="176"/>
      <c r="J135" s="228">
        <f t="shared" si="15"/>
        <v>802.80000000000007</v>
      </c>
      <c r="K135" s="168"/>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70"/>
      <c r="AV135" s="170"/>
      <c r="AW135" s="170"/>
      <c r="AX135" s="170"/>
      <c r="AY135" s="170"/>
    </row>
    <row r="136" spans="1:51" s="171" customFormat="1" ht="15">
      <c r="A136" s="170"/>
      <c r="B136" s="175"/>
      <c r="C136" s="278" t="s">
        <v>1178</v>
      </c>
      <c r="D136" s="172" t="s">
        <v>1185</v>
      </c>
      <c r="E136" s="172">
        <v>8</v>
      </c>
      <c r="F136" s="101">
        <v>52</v>
      </c>
      <c r="G136" s="101">
        <v>6.55</v>
      </c>
      <c r="H136" s="101"/>
      <c r="I136" s="176"/>
      <c r="J136" s="228">
        <f t="shared" si="15"/>
        <v>2724.7999999999997</v>
      </c>
      <c r="K136" s="168"/>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70"/>
      <c r="AV136" s="170"/>
      <c r="AW136" s="170"/>
      <c r="AX136" s="170"/>
      <c r="AY136" s="170"/>
    </row>
    <row r="137" spans="1:51" s="171" customFormat="1" ht="15">
      <c r="A137" s="170"/>
      <c r="B137" s="175"/>
      <c r="C137" s="278" t="s">
        <v>1179</v>
      </c>
      <c r="D137" s="172" t="s">
        <v>1186</v>
      </c>
      <c r="E137" s="172">
        <v>8</v>
      </c>
      <c r="F137" s="101">
        <v>67</v>
      </c>
      <c r="G137" s="101">
        <v>9.1</v>
      </c>
      <c r="H137" s="101"/>
      <c r="I137" s="176"/>
      <c r="J137" s="228">
        <f t="shared" si="15"/>
        <v>4877.5999999999995</v>
      </c>
      <c r="K137" s="168"/>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70"/>
      <c r="AV137" s="170"/>
      <c r="AW137" s="170"/>
      <c r="AX137" s="170"/>
      <c r="AY137" s="170"/>
    </row>
    <row r="138" spans="1:51" s="171" customFormat="1" ht="15">
      <c r="A138" s="170"/>
      <c r="B138" s="175"/>
      <c r="C138" s="278" t="s">
        <v>1191</v>
      </c>
      <c r="D138" s="172" t="s">
        <v>1192</v>
      </c>
      <c r="E138" s="172">
        <v>4</v>
      </c>
      <c r="F138" s="101">
        <v>44.5</v>
      </c>
      <c r="G138" s="343">
        <v>5.2789999999999999</v>
      </c>
      <c r="H138" s="101"/>
      <c r="I138" s="176"/>
      <c r="J138" s="228">
        <f t="shared" si="15"/>
        <v>939.66200000000003</v>
      </c>
      <c r="K138" s="168"/>
      <c r="L138" s="170"/>
      <c r="M138" s="170"/>
      <c r="N138" s="170"/>
      <c r="O138" s="170"/>
      <c r="P138" s="170"/>
      <c r="Q138" s="170"/>
      <c r="R138" s="170"/>
      <c r="S138" s="170"/>
      <c r="T138" s="170"/>
      <c r="U138" s="170"/>
      <c r="V138" s="170"/>
      <c r="W138" s="170"/>
      <c r="X138" s="170"/>
      <c r="Y138" s="170"/>
      <c r="Z138" s="170"/>
      <c r="AA138" s="170"/>
      <c r="AB138" s="170"/>
      <c r="AC138" s="170"/>
      <c r="AD138" s="170"/>
      <c r="AE138" s="170"/>
      <c r="AF138" s="170"/>
      <c r="AG138" s="170"/>
      <c r="AH138" s="170"/>
      <c r="AI138" s="170"/>
      <c r="AJ138" s="170"/>
      <c r="AK138" s="170"/>
      <c r="AL138" s="170"/>
      <c r="AM138" s="170"/>
      <c r="AN138" s="170"/>
      <c r="AO138" s="170"/>
      <c r="AP138" s="170"/>
      <c r="AQ138" s="170"/>
      <c r="AR138" s="170"/>
      <c r="AS138" s="170"/>
      <c r="AT138" s="170"/>
      <c r="AU138" s="170"/>
      <c r="AV138" s="170"/>
      <c r="AW138" s="170"/>
      <c r="AX138" s="170"/>
      <c r="AY138" s="170"/>
    </row>
    <row r="139" spans="1:51" s="171" customFormat="1" ht="15">
      <c r="A139" s="170"/>
      <c r="B139" s="175"/>
      <c r="C139" s="278" t="s">
        <v>1194</v>
      </c>
      <c r="D139" s="172" t="s">
        <v>1193</v>
      </c>
      <c r="E139" s="172">
        <v>1</v>
      </c>
      <c r="F139" s="101">
        <v>75</v>
      </c>
      <c r="G139" s="343">
        <v>6.1849999999999996</v>
      </c>
      <c r="H139" s="101"/>
      <c r="I139" s="176"/>
      <c r="J139" s="228">
        <f t="shared" si="15"/>
        <v>463.87499999999994</v>
      </c>
      <c r="K139" s="168"/>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70"/>
      <c r="AV139" s="170"/>
      <c r="AW139" s="170"/>
      <c r="AX139" s="170"/>
      <c r="AY139" s="170"/>
    </row>
    <row r="140" spans="1:51" s="171" customFormat="1" ht="15">
      <c r="A140" s="170"/>
      <c r="B140" s="175"/>
      <c r="C140" s="278" t="s">
        <v>1195</v>
      </c>
      <c r="D140" s="172" t="s">
        <v>1196</v>
      </c>
      <c r="E140" s="172">
        <v>1</v>
      </c>
      <c r="F140" s="101">
        <v>39</v>
      </c>
      <c r="G140" s="343">
        <v>20.149999999999999</v>
      </c>
      <c r="H140" s="101"/>
      <c r="I140" s="176"/>
      <c r="J140" s="228">
        <f t="shared" si="15"/>
        <v>785.84999999999991</v>
      </c>
      <c r="K140" s="168"/>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70"/>
      <c r="AV140" s="170"/>
      <c r="AW140" s="170"/>
      <c r="AX140" s="170"/>
      <c r="AY140" s="170"/>
    </row>
    <row r="141" spans="1:51" s="171" customFormat="1" ht="15">
      <c r="A141" s="170"/>
      <c r="B141" s="175"/>
      <c r="C141" s="278" t="s">
        <v>1197</v>
      </c>
      <c r="D141" s="172" t="s">
        <v>1198</v>
      </c>
      <c r="E141" s="172">
        <v>2</v>
      </c>
      <c r="F141" s="101">
        <v>44.6</v>
      </c>
      <c r="G141" s="343">
        <v>20.149999999999999</v>
      </c>
      <c r="H141" s="101"/>
      <c r="I141" s="176"/>
      <c r="J141" s="228">
        <f t="shared" si="15"/>
        <v>1797.3799999999999</v>
      </c>
      <c r="K141" s="168"/>
      <c r="L141" s="170"/>
      <c r="M141" s="170"/>
      <c r="N141" s="170"/>
      <c r="O141" s="170"/>
      <c r="P141" s="170"/>
      <c r="Q141" s="170"/>
      <c r="R141" s="170"/>
      <c r="S141" s="170"/>
      <c r="T141" s="170"/>
      <c r="U141" s="170"/>
      <c r="V141" s="170"/>
      <c r="W141" s="170"/>
      <c r="X141" s="170"/>
      <c r="Y141" s="170"/>
      <c r="Z141" s="170"/>
      <c r="AA141" s="170"/>
      <c r="AB141" s="170"/>
      <c r="AC141" s="170"/>
      <c r="AD141" s="170"/>
      <c r="AE141" s="170"/>
      <c r="AF141" s="170"/>
      <c r="AG141" s="170"/>
      <c r="AH141" s="170"/>
      <c r="AI141" s="170"/>
      <c r="AJ141" s="170"/>
      <c r="AK141" s="170"/>
      <c r="AL141" s="170"/>
      <c r="AM141" s="170"/>
      <c r="AN141" s="170"/>
      <c r="AO141" s="170"/>
      <c r="AP141" s="170"/>
      <c r="AQ141" s="170"/>
      <c r="AR141" s="170"/>
      <c r="AS141" s="170"/>
      <c r="AT141" s="170"/>
      <c r="AU141" s="170"/>
      <c r="AV141" s="170"/>
      <c r="AW141" s="170"/>
      <c r="AX141" s="170"/>
      <c r="AY141" s="170"/>
    </row>
    <row r="142" spans="1:51" s="171" customFormat="1" ht="15">
      <c r="A142" s="170"/>
      <c r="B142" s="175"/>
      <c r="C142" s="278" t="s">
        <v>1199</v>
      </c>
      <c r="D142" s="172" t="s">
        <v>1200</v>
      </c>
      <c r="E142" s="172">
        <v>5</v>
      </c>
      <c r="F142" s="101">
        <v>17.899999999999999</v>
      </c>
      <c r="G142" s="343">
        <v>16.399999999999999</v>
      </c>
      <c r="H142" s="101"/>
      <c r="I142" s="176"/>
      <c r="J142" s="228">
        <f t="shared" si="15"/>
        <v>1467.8</v>
      </c>
      <c r="K142" s="168"/>
      <c r="L142" s="170"/>
      <c r="M142" s="170"/>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0"/>
      <c r="AT142" s="170"/>
      <c r="AU142" s="170"/>
      <c r="AV142" s="170"/>
      <c r="AW142" s="170"/>
      <c r="AX142" s="170"/>
      <c r="AY142" s="170"/>
    </row>
    <row r="143" spans="1:51" s="171" customFormat="1" ht="15">
      <c r="A143" s="170"/>
      <c r="B143" s="175"/>
      <c r="C143" s="278" t="s">
        <v>1191</v>
      </c>
      <c r="D143" s="172" t="s">
        <v>1192</v>
      </c>
      <c r="E143" s="172">
        <v>4</v>
      </c>
      <c r="F143" s="101">
        <v>44.5</v>
      </c>
      <c r="G143" s="343">
        <v>5.2789999999999999</v>
      </c>
      <c r="H143" s="101"/>
      <c r="I143" s="176"/>
      <c r="J143" s="228">
        <f t="shared" si="15"/>
        <v>939.66200000000003</v>
      </c>
      <c r="K143" s="168"/>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70"/>
      <c r="AV143" s="170"/>
      <c r="AW143" s="170"/>
      <c r="AX143" s="170"/>
      <c r="AY143" s="170"/>
    </row>
    <row r="144" spans="1:51" s="171" customFormat="1" ht="15">
      <c r="A144" s="170"/>
      <c r="B144" s="175"/>
      <c r="C144" s="278" t="s">
        <v>1191</v>
      </c>
      <c r="D144" s="172" t="s">
        <v>1192</v>
      </c>
      <c r="E144" s="172">
        <v>1</v>
      </c>
      <c r="F144" s="101">
        <v>44.5</v>
      </c>
      <c r="G144" s="343">
        <v>6.1849999999999996</v>
      </c>
      <c r="H144" s="101"/>
      <c r="I144" s="176"/>
      <c r="J144" s="228">
        <f t="shared" si="15"/>
        <v>275.23249999999996</v>
      </c>
      <c r="K144" s="168"/>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70"/>
      <c r="AV144" s="170"/>
      <c r="AW144" s="170"/>
      <c r="AX144" s="170"/>
      <c r="AY144" s="170"/>
    </row>
    <row r="145" spans="1:51" s="171" customFormat="1" ht="15">
      <c r="A145" s="170"/>
      <c r="B145" s="175"/>
      <c r="C145" s="278" t="s">
        <v>1187</v>
      </c>
      <c r="D145" s="172" t="s">
        <v>1188</v>
      </c>
      <c r="E145" s="172">
        <v>10</v>
      </c>
      <c r="F145" s="101">
        <v>25</v>
      </c>
      <c r="G145" s="343">
        <v>16.529</v>
      </c>
      <c r="H145" s="101"/>
      <c r="I145" s="176"/>
      <c r="J145" s="228">
        <f t="shared" si="15"/>
        <v>4132.25</v>
      </c>
      <c r="K145" s="168"/>
      <c r="L145" s="170"/>
      <c r="M145" s="170"/>
      <c r="N145" s="170"/>
      <c r="O145" s="170"/>
      <c r="P145" s="170"/>
      <c r="Q145" s="170"/>
      <c r="R145" s="170"/>
      <c r="S145" s="170"/>
      <c r="T145" s="170"/>
      <c r="U145" s="170"/>
      <c r="V145" s="170"/>
      <c r="W145" s="170"/>
      <c r="X145" s="170"/>
      <c r="Y145" s="170"/>
      <c r="Z145" s="170"/>
      <c r="AA145" s="170"/>
      <c r="AB145" s="170"/>
      <c r="AC145" s="170"/>
      <c r="AD145" s="170"/>
      <c r="AE145" s="170"/>
      <c r="AF145" s="170"/>
      <c r="AG145" s="170"/>
      <c r="AH145" s="170"/>
      <c r="AI145" s="170"/>
      <c r="AJ145" s="170"/>
      <c r="AK145" s="170"/>
      <c r="AL145" s="170"/>
      <c r="AM145" s="170"/>
      <c r="AN145" s="170"/>
      <c r="AO145" s="170"/>
      <c r="AP145" s="170"/>
      <c r="AQ145" s="170"/>
      <c r="AR145" s="170"/>
      <c r="AS145" s="170"/>
      <c r="AT145" s="170"/>
      <c r="AU145" s="170"/>
      <c r="AV145" s="170"/>
      <c r="AW145" s="170"/>
      <c r="AX145" s="170"/>
      <c r="AY145" s="170"/>
    </row>
    <row r="146" spans="1:51" s="171" customFormat="1" ht="15">
      <c r="A146" s="170"/>
      <c r="B146" s="175"/>
      <c r="C146" s="278" t="s">
        <v>1201</v>
      </c>
      <c r="D146" s="172" t="s">
        <v>1206</v>
      </c>
      <c r="E146" s="172">
        <v>1</v>
      </c>
      <c r="F146" s="101">
        <v>18</v>
      </c>
      <c r="G146" s="101">
        <v>24</v>
      </c>
      <c r="H146" s="101"/>
      <c r="I146" s="176"/>
      <c r="J146" s="228">
        <f t="shared" si="15"/>
        <v>432</v>
      </c>
      <c r="K146" s="168"/>
      <c r="L146" s="170"/>
      <c r="M146" s="170"/>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70"/>
      <c r="AV146" s="170"/>
      <c r="AW146" s="170"/>
      <c r="AX146" s="170"/>
      <c r="AY146" s="170"/>
    </row>
    <row r="147" spans="1:51" s="171" customFormat="1" ht="15">
      <c r="A147" s="170"/>
      <c r="B147" s="175"/>
      <c r="C147" s="278" t="s">
        <v>1202</v>
      </c>
      <c r="D147" s="172" t="s">
        <v>1207</v>
      </c>
      <c r="E147" s="172">
        <v>1</v>
      </c>
      <c r="F147" s="101">
        <v>99.61</v>
      </c>
      <c r="G147" s="101">
        <v>0.36</v>
      </c>
      <c r="H147" s="101"/>
      <c r="I147" s="176"/>
      <c r="J147" s="228">
        <f t="shared" si="15"/>
        <v>35.8596</v>
      </c>
      <c r="K147" s="168"/>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70"/>
      <c r="AV147" s="170"/>
      <c r="AW147" s="170"/>
      <c r="AX147" s="170"/>
      <c r="AY147" s="170"/>
    </row>
    <row r="148" spans="1:51" s="171" customFormat="1" ht="15">
      <c r="A148" s="170"/>
      <c r="B148" s="175"/>
      <c r="C148" s="278" t="s">
        <v>1203</v>
      </c>
      <c r="D148" s="172" t="s">
        <v>1208</v>
      </c>
      <c r="E148" s="172">
        <v>1</v>
      </c>
      <c r="F148" s="101">
        <v>25</v>
      </c>
      <c r="G148" s="101">
        <v>15.58</v>
      </c>
      <c r="H148" s="101"/>
      <c r="I148" s="176"/>
      <c r="J148" s="228">
        <f t="shared" si="15"/>
        <v>389.5</v>
      </c>
      <c r="K148" s="168"/>
      <c r="L148" s="170"/>
      <c r="M148" s="170"/>
      <c r="N148" s="170"/>
      <c r="O148" s="170"/>
      <c r="P148" s="170"/>
      <c r="Q148" s="170"/>
      <c r="R148" s="170"/>
      <c r="S148" s="170"/>
      <c r="T148" s="170"/>
      <c r="U148" s="170"/>
      <c r="V148" s="170"/>
      <c r="W148" s="170"/>
      <c r="X148" s="170"/>
      <c r="Y148" s="170"/>
      <c r="Z148" s="170"/>
      <c r="AA148" s="170"/>
      <c r="AB148" s="170"/>
      <c r="AC148" s="170"/>
      <c r="AD148" s="170"/>
      <c r="AE148" s="170"/>
      <c r="AF148" s="170"/>
      <c r="AG148" s="170"/>
      <c r="AH148" s="170"/>
      <c r="AI148" s="170"/>
      <c r="AJ148" s="170"/>
      <c r="AK148" s="170"/>
      <c r="AL148" s="170"/>
      <c r="AM148" s="170"/>
      <c r="AN148" s="170"/>
      <c r="AO148" s="170"/>
      <c r="AP148" s="170"/>
      <c r="AQ148" s="170"/>
      <c r="AR148" s="170"/>
      <c r="AS148" s="170"/>
      <c r="AT148" s="170"/>
      <c r="AU148" s="170"/>
      <c r="AV148" s="170"/>
      <c r="AW148" s="170"/>
      <c r="AX148" s="170"/>
      <c r="AY148" s="170"/>
    </row>
    <row r="149" spans="1:51" s="171" customFormat="1" ht="15">
      <c r="A149" s="170"/>
      <c r="B149" s="175"/>
      <c r="C149" s="278" t="s">
        <v>1204</v>
      </c>
      <c r="D149" s="172" t="s">
        <v>1205</v>
      </c>
      <c r="E149" s="172">
        <v>1</v>
      </c>
      <c r="F149" s="101">
        <v>35.9</v>
      </c>
      <c r="G149" s="101">
        <v>6</v>
      </c>
      <c r="H149" s="101"/>
      <c r="I149" s="176"/>
      <c r="J149" s="228">
        <f t="shared" ref="J149" si="16">E149*F149*G149</f>
        <v>215.39999999999998</v>
      </c>
      <c r="K149" s="168"/>
      <c r="L149" s="170"/>
      <c r="M149" s="170"/>
      <c r="N149" s="170"/>
      <c r="O149" s="170"/>
      <c r="P149" s="170"/>
      <c r="Q149" s="170"/>
      <c r="R149" s="170"/>
      <c r="S149" s="170"/>
      <c r="T149" s="170"/>
      <c r="U149" s="170"/>
      <c r="V149" s="170"/>
      <c r="W149" s="170"/>
      <c r="X149" s="170"/>
      <c r="Y149" s="170"/>
      <c r="Z149" s="170"/>
      <c r="AA149" s="170"/>
      <c r="AB149" s="170"/>
      <c r="AC149" s="170"/>
      <c r="AD149" s="170"/>
      <c r="AE149" s="170"/>
      <c r="AF149" s="170"/>
      <c r="AG149" s="170"/>
      <c r="AH149" s="170"/>
      <c r="AI149" s="170"/>
      <c r="AJ149" s="170"/>
      <c r="AK149" s="170"/>
      <c r="AL149" s="170"/>
      <c r="AM149" s="170"/>
      <c r="AN149" s="170"/>
      <c r="AO149" s="170"/>
      <c r="AP149" s="170"/>
      <c r="AQ149" s="170"/>
      <c r="AR149" s="170"/>
      <c r="AS149" s="170"/>
      <c r="AT149" s="170"/>
      <c r="AU149" s="170"/>
      <c r="AV149" s="170"/>
      <c r="AW149" s="170"/>
      <c r="AX149" s="170"/>
      <c r="AY149" s="170"/>
    </row>
    <row r="150" spans="1:51" s="171" customFormat="1" ht="15">
      <c r="A150" s="170"/>
      <c r="B150" s="175"/>
      <c r="C150" s="278"/>
      <c r="D150" s="172"/>
      <c r="E150" s="172"/>
      <c r="F150" s="101"/>
      <c r="G150" s="101"/>
      <c r="H150" s="101"/>
      <c r="I150" s="176"/>
      <c r="J150" s="228"/>
      <c r="K150" s="168"/>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70"/>
      <c r="AV150" s="170"/>
      <c r="AW150" s="170"/>
      <c r="AX150" s="170"/>
      <c r="AY150" s="170"/>
    </row>
    <row r="151" spans="1:51" s="171" customFormat="1" ht="15">
      <c r="A151" s="170"/>
      <c r="B151" s="175"/>
      <c r="C151" s="278"/>
      <c r="D151" s="172"/>
      <c r="E151" s="172"/>
      <c r="F151" s="101"/>
      <c r="G151" s="101"/>
      <c r="H151" s="101"/>
      <c r="I151" s="176"/>
      <c r="J151" s="228"/>
      <c r="K151" s="168"/>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70"/>
      <c r="AV151" s="170"/>
      <c r="AW151" s="170"/>
      <c r="AX151" s="170"/>
      <c r="AY151" s="170"/>
    </row>
    <row r="152" spans="1:51" s="171" customFormat="1" ht="15">
      <c r="A152" s="170"/>
      <c r="B152" s="175"/>
      <c r="C152" s="278"/>
      <c r="D152" s="172"/>
      <c r="E152" s="172"/>
      <c r="F152" s="101"/>
      <c r="G152" s="101"/>
      <c r="H152" s="101"/>
      <c r="I152" s="176"/>
      <c r="J152" s="228"/>
      <c r="K152" s="168"/>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70"/>
      <c r="AV152" s="170"/>
      <c r="AW152" s="170"/>
      <c r="AX152" s="170"/>
      <c r="AY152" s="170"/>
    </row>
    <row r="153" spans="1:51" ht="15">
      <c r="B153" s="125" t="s">
        <v>596</v>
      </c>
      <c r="C153" s="72" t="s">
        <v>61</v>
      </c>
      <c r="D153" s="73"/>
      <c r="E153" s="73"/>
      <c r="F153" s="109"/>
      <c r="G153" s="109"/>
      <c r="H153" s="109"/>
      <c r="I153" s="173"/>
      <c r="J153" s="227"/>
    </row>
    <row r="154" spans="1:51" ht="38.25">
      <c r="B154" s="175" t="s">
        <v>597</v>
      </c>
      <c r="C154" s="278" t="s">
        <v>598</v>
      </c>
      <c r="D154" s="172" t="s">
        <v>543</v>
      </c>
      <c r="E154" s="172"/>
      <c r="F154" s="101"/>
      <c r="G154" s="101"/>
      <c r="H154" s="101"/>
      <c r="I154" s="176"/>
      <c r="J154" s="228">
        <f>SUM(J155:J157)</f>
        <v>402.24280000000005</v>
      </c>
    </row>
    <row r="155" spans="1:51" ht="15">
      <c r="B155" s="175"/>
      <c r="C155" s="179" t="s">
        <v>599</v>
      </c>
      <c r="D155" s="172"/>
      <c r="E155" s="172">
        <v>1</v>
      </c>
      <c r="F155" s="101">
        <v>20.56</v>
      </c>
      <c r="G155" s="101">
        <v>16.760000000000002</v>
      </c>
      <c r="H155" s="101"/>
      <c r="I155" s="176"/>
      <c r="J155" s="228">
        <f>E155*F155*G155</f>
        <v>344.5856</v>
      </c>
    </row>
    <row r="156" spans="1:51" ht="15">
      <c r="B156" s="175"/>
      <c r="C156" s="179" t="s">
        <v>600</v>
      </c>
      <c r="D156" s="172"/>
      <c r="E156" s="172">
        <v>1</v>
      </c>
      <c r="F156" s="101">
        <f>F157-2.53</f>
        <v>3.9200000000000004</v>
      </c>
      <c r="G156" s="101">
        <v>5.56</v>
      </c>
      <c r="H156" s="101"/>
      <c r="I156" s="176"/>
      <c r="J156" s="228">
        <f t="shared" ref="J156:J157" si="17">E156*F156*G156</f>
        <v>21.795200000000001</v>
      </c>
    </row>
    <row r="157" spans="1:51" ht="15">
      <c r="B157" s="175"/>
      <c r="C157" s="179" t="s">
        <v>601</v>
      </c>
      <c r="D157" s="172"/>
      <c r="E157" s="172">
        <v>1</v>
      </c>
      <c r="F157" s="101">
        <v>6.45</v>
      </c>
      <c r="G157" s="101">
        <v>5.56</v>
      </c>
      <c r="H157" s="101"/>
      <c r="I157" s="176"/>
      <c r="J157" s="228">
        <f t="shared" si="17"/>
        <v>35.862000000000002</v>
      </c>
    </row>
    <row r="158" spans="1:51" s="171" customFormat="1" ht="15">
      <c r="A158" s="170"/>
      <c r="B158" s="175"/>
      <c r="C158" s="179"/>
      <c r="D158" s="172"/>
      <c r="E158" s="172"/>
      <c r="F158" s="101"/>
      <c r="G158" s="101"/>
      <c r="H158" s="101"/>
      <c r="I158" s="176"/>
      <c r="J158" s="228"/>
      <c r="K158" s="168"/>
      <c r="L158" s="170"/>
      <c r="M158" s="170"/>
      <c r="N158" s="170"/>
      <c r="O158" s="170"/>
      <c r="P158" s="170"/>
      <c r="Q158" s="170"/>
      <c r="R158" s="170"/>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170"/>
      <c r="AV158" s="170"/>
      <c r="AW158" s="170"/>
      <c r="AX158" s="170"/>
      <c r="AY158" s="170"/>
    </row>
    <row r="159" spans="1:51" ht="15">
      <c r="B159" s="175" t="s">
        <v>602</v>
      </c>
      <c r="C159" s="176" t="s">
        <v>603</v>
      </c>
      <c r="D159" s="172" t="s">
        <v>584</v>
      </c>
      <c r="E159" s="172"/>
      <c r="F159" s="101"/>
      <c r="G159" s="101"/>
      <c r="H159" s="101"/>
      <c r="I159" s="176" t="s">
        <v>604</v>
      </c>
      <c r="J159" s="228">
        <f>J154*1.48*1.05</f>
        <v>625.08531120000009</v>
      </c>
    </row>
    <row r="160" spans="1:51" ht="15">
      <c r="B160" s="175"/>
      <c r="C160" s="176"/>
      <c r="D160" s="176"/>
      <c r="E160" s="176"/>
      <c r="F160" s="127"/>
      <c r="G160" s="127"/>
      <c r="H160" s="127"/>
      <c r="I160" s="176"/>
      <c r="J160" s="228"/>
    </row>
    <row r="161" spans="1:51" ht="15">
      <c r="B161" s="118">
        <v>6</v>
      </c>
      <c r="C161" s="71" t="s">
        <v>605</v>
      </c>
      <c r="D161" s="71"/>
      <c r="E161" s="71"/>
      <c r="F161" s="107"/>
      <c r="G161" s="107"/>
      <c r="H161" s="107"/>
      <c r="I161" s="71"/>
      <c r="J161" s="120"/>
    </row>
    <row r="162" spans="1:51" ht="15">
      <c r="B162" s="125" t="s">
        <v>606</v>
      </c>
      <c r="C162" s="72" t="s">
        <v>607</v>
      </c>
      <c r="D162" s="173"/>
      <c r="E162" s="173"/>
      <c r="F162" s="108"/>
      <c r="G162" s="108"/>
      <c r="H162" s="108"/>
      <c r="I162" s="173"/>
      <c r="J162" s="128"/>
    </row>
    <row r="163" spans="1:51" ht="15">
      <c r="B163" s="129" t="s">
        <v>608</v>
      </c>
      <c r="C163" s="176" t="s">
        <v>609</v>
      </c>
      <c r="D163" s="172" t="s">
        <v>610</v>
      </c>
      <c r="E163" s="172"/>
      <c r="F163" s="101"/>
      <c r="G163" s="101"/>
      <c r="H163" s="101"/>
      <c r="I163" s="176"/>
      <c r="J163" s="164">
        <f>SUM(J164:J171)</f>
        <v>992.58400000000006</v>
      </c>
    </row>
    <row r="164" spans="1:51" ht="15">
      <c r="B164" s="129"/>
      <c r="C164" s="179" t="s">
        <v>611</v>
      </c>
      <c r="D164" s="172"/>
      <c r="E164" s="172">
        <v>1</v>
      </c>
      <c r="F164" s="101"/>
      <c r="G164" s="339">
        <f>(3.25*3)+16.76+10.03+(5.08*3)+(7.01-1.2)+6.76+10.03+4.14+(2.59*2)+(3.9*3)+10.03+10.03+(3.9*3)+4.31+1.2+1.76+1.73+1.76+2.8</f>
        <v>140.72</v>
      </c>
      <c r="H164" s="101">
        <v>2.95</v>
      </c>
      <c r="I164" s="176" t="s">
        <v>612</v>
      </c>
      <c r="J164" s="164">
        <f>E164*G164*H164</f>
        <v>415.12400000000002</v>
      </c>
    </row>
    <row r="165" spans="1:51" ht="15">
      <c r="B165" s="129"/>
      <c r="C165" s="179" t="s">
        <v>613</v>
      </c>
      <c r="D165" s="172"/>
      <c r="E165" s="172">
        <v>1</v>
      </c>
      <c r="F165" s="101"/>
      <c r="G165" s="101">
        <v>68.19</v>
      </c>
      <c r="H165" s="101">
        <v>4.4000000000000004</v>
      </c>
      <c r="I165" s="176" t="s">
        <v>1252</v>
      </c>
      <c r="J165" s="164">
        <f>E165*G165*H165</f>
        <v>300.036</v>
      </c>
    </row>
    <row r="166" spans="1:51" ht="15">
      <c r="B166" s="129"/>
      <c r="C166" s="179" t="s">
        <v>615</v>
      </c>
      <c r="D166" s="172"/>
      <c r="E166" s="172">
        <v>1</v>
      </c>
      <c r="F166" s="101"/>
      <c r="G166" s="101">
        <v>17.510000000000002</v>
      </c>
      <c r="H166" s="101">
        <v>8.1</v>
      </c>
      <c r="I166" s="176" t="s">
        <v>614</v>
      </c>
      <c r="J166" s="164">
        <f t="shared" ref="J166:J170" si="18">E166*G166*H166</f>
        <v>141.83100000000002</v>
      </c>
    </row>
    <row r="167" spans="1:51" ht="15">
      <c r="B167" s="129"/>
      <c r="C167" s="179" t="s">
        <v>616</v>
      </c>
      <c r="D167" s="172"/>
      <c r="E167" s="172">
        <v>1</v>
      </c>
      <c r="F167" s="101"/>
      <c r="G167" s="101">
        <v>47.63</v>
      </c>
      <c r="H167" s="101">
        <v>4.0999999999999996</v>
      </c>
      <c r="I167" s="176" t="s">
        <v>614</v>
      </c>
      <c r="J167" s="164">
        <f t="shared" si="18"/>
        <v>195.28299999999999</v>
      </c>
    </row>
    <row r="168" spans="1:51" s="171" customFormat="1" ht="15">
      <c r="A168" s="170"/>
      <c r="B168" s="129"/>
      <c r="C168" s="179" t="s">
        <v>1144</v>
      </c>
      <c r="D168" s="172"/>
      <c r="E168" s="172">
        <v>-15</v>
      </c>
      <c r="F168" s="101"/>
      <c r="G168" s="101">
        <v>0.9</v>
      </c>
      <c r="H168" s="101">
        <v>2.1</v>
      </c>
      <c r="I168" s="176"/>
      <c r="J168" s="164">
        <f t="shared" si="18"/>
        <v>-28.35</v>
      </c>
      <c r="K168" s="168"/>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70"/>
      <c r="AV168" s="170"/>
      <c r="AW168" s="170"/>
      <c r="AX168" s="170"/>
      <c r="AY168" s="170"/>
    </row>
    <row r="169" spans="1:51" s="171" customFormat="1" ht="15">
      <c r="A169" s="170"/>
      <c r="B169" s="129"/>
      <c r="C169" s="179"/>
      <c r="D169" s="172"/>
      <c r="E169" s="172">
        <v>-2</v>
      </c>
      <c r="F169" s="101"/>
      <c r="G169" s="101">
        <v>0.8</v>
      </c>
      <c r="H169" s="101">
        <v>2.1</v>
      </c>
      <c r="I169" s="176"/>
      <c r="J169" s="164">
        <f t="shared" si="18"/>
        <v>-3.3600000000000003</v>
      </c>
      <c r="K169" s="168"/>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70"/>
      <c r="AV169" s="170"/>
      <c r="AW169" s="170"/>
      <c r="AX169" s="170"/>
      <c r="AY169" s="170"/>
    </row>
    <row r="170" spans="1:51" s="171" customFormat="1" ht="15">
      <c r="A170" s="170"/>
      <c r="B170" s="129"/>
      <c r="C170" s="179"/>
      <c r="D170" s="172"/>
      <c r="E170" s="172">
        <v>-2</v>
      </c>
      <c r="F170" s="101"/>
      <c r="G170" s="101">
        <v>0.9</v>
      </c>
      <c r="H170" s="101">
        <v>2.1</v>
      </c>
      <c r="I170" s="176"/>
      <c r="J170" s="164">
        <f t="shared" si="18"/>
        <v>-3.7800000000000002</v>
      </c>
      <c r="K170" s="168"/>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70"/>
      <c r="AV170" s="170"/>
      <c r="AW170" s="170"/>
      <c r="AX170" s="170"/>
      <c r="AY170" s="170"/>
    </row>
    <row r="171" spans="1:51" s="171" customFormat="1" ht="15">
      <c r="A171" s="170"/>
      <c r="B171" s="129"/>
      <c r="C171" s="179" t="s">
        <v>1253</v>
      </c>
      <c r="D171" s="172"/>
      <c r="E171" s="172"/>
      <c r="F171" s="101"/>
      <c r="G171" s="101"/>
      <c r="H171" s="101">
        <f>J287</f>
        <v>24.2</v>
      </c>
      <c r="I171" s="176"/>
      <c r="J171" s="164">
        <f>-H171</f>
        <v>-24.2</v>
      </c>
      <c r="K171" s="168"/>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70"/>
      <c r="AV171" s="170"/>
      <c r="AW171" s="170"/>
      <c r="AX171" s="170"/>
      <c r="AY171" s="170"/>
    </row>
    <row r="172" spans="1:51" ht="25.5">
      <c r="B172" s="129" t="s">
        <v>617</v>
      </c>
      <c r="C172" s="278" t="s">
        <v>1076</v>
      </c>
      <c r="D172" s="172" t="s">
        <v>543</v>
      </c>
      <c r="E172" s="172"/>
      <c r="F172" s="101"/>
      <c r="G172" s="101"/>
      <c r="H172" s="101"/>
      <c r="I172" s="176" t="s">
        <v>618</v>
      </c>
      <c r="J172" s="164">
        <f>SUM(J173:J177)</f>
        <v>19.721999999999998</v>
      </c>
    </row>
    <row r="173" spans="1:51" s="171" customFormat="1" ht="15">
      <c r="A173" s="170"/>
      <c r="B173" s="129"/>
      <c r="C173" s="278"/>
      <c r="D173" s="172"/>
      <c r="E173" s="172">
        <v>3</v>
      </c>
      <c r="F173" s="101">
        <v>1.4</v>
      </c>
      <c r="G173" s="101"/>
      <c r="H173" s="101">
        <v>1.9</v>
      </c>
      <c r="I173" s="176"/>
      <c r="J173" s="164">
        <f>E173*F173*H173</f>
        <v>7.9799999999999986</v>
      </c>
      <c r="K173" s="168"/>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70"/>
      <c r="AV173" s="170"/>
      <c r="AW173" s="170"/>
      <c r="AX173" s="170"/>
      <c r="AY173" s="170"/>
    </row>
    <row r="174" spans="1:51" s="171" customFormat="1" ht="15">
      <c r="A174" s="170"/>
      <c r="B174" s="129"/>
      <c r="C174" s="278"/>
      <c r="D174" s="172"/>
      <c r="E174" s="172">
        <v>3</v>
      </c>
      <c r="F174" s="101">
        <v>1.2</v>
      </c>
      <c r="G174" s="101"/>
      <c r="H174" s="101">
        <v>1.9</v>
      </c>
      <c r="I174" s="176"/>
      <c r="J174" s="164">
        <f>E174*F174*H174</f>
        <v>6.839999999999999</v>
      </c>
      <c r="K174" s="168"/>
      <c r="L174" s="170"/>
      <c r="M174" s="170"/>
      <c r="N174" s="170"/>
      <c r="O174" s="170"/>
      <c r="P174" s="170"/>
      <c r="Q174" s="170"/>
      <c r="R174" s="170"/>
      <c r="S174" s="170"/>
      <c r="T174" s="170"/>
      <c r="U174" s="170"/>
      <c r="V174" s="170"/>
      <c r="W174" s="170"/>
      <c r="X174" s="170"/>
      <c r="Y174" s="170"/>
      <c r="Z174" s="170"/>
      <c r="AA174" s="170"/>
      <c r="AB174" s="170"/>
      <c r="AC174" s="170"/>
      <c r="AD174" s="170"/>
      <c r="AE174" s="170"/>
      <c r="AF174" s="170"/>
      <c r="AG174" s="170"/>
      <c r="AH174" s="170"/>
      <c r="AI174" s="170"/>
      <c r="AJ174" s="170"/>
      <c r="AK174" s="170"/>
      <c r="AL174" s="170"/>
      <c r="AM174" s="170"/>
      <c r="AN174" s="170"/>
      <c r="AO174" s="170"/>
      <c r="AP174" s="170"/>
      <c r="AQ174" s="170"/>
      <c r="AR174" s="170"/>
      <c r="AS174" s="170"/>
      <c r="AT174" s="170"/>
      <c r="AU174" s="170"/>
      <c r="AV174" s="170"/>
      <c r="AW174" s="170"/>
      <c r="AX174" s="170"/>
      <c r="AY174" s="170"/>
    </row>
    <row r="175" spans="1:51" s="171" customFormat="1" ht="15">
      <c r="A175" s="170"/>
      <c r="B175" s="129"/>
      <c r="C175" s="278"/>
      <c r="D175" s="172"/>
      <c r="E175" s="172">
        <v>2</v>
      </c>
      <c r="F175" s="101">
        <v>0.33</v>
      </c>
      <c r="G175" s="101"/>
      <c r="H175" s="101">
        <v>1.9</v>
      </c>
      <c r="I175" s="176"/>
      <c r="J175" s="164">
        <f t="shared" ref="J175:J177" si="19">E175*F175*H175</f>
        <v>1.254</v>
      </c>
      <c r="K175" s="168"/>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70"/>
      <c r="AV175" s="170"/>
      <c r="AW175" s="170"/>
      <c r="AX175" s="170"/>
      <c r="AY175" s="170"/>
    </row>
    <row r="176" spans="1:51" s="171" customFormat="1" ht="15">
      <c r="A176" s="170"/>
      <c r="B176" s="129"/>
      <c r="C176" s="278"/>
      <c r="D176" s="172"/>
      <c r="E176" s="172">
        <v>4</v>
      </c>
      <c r="F176" s="101">
        <v>0.43</v>
      </c>
      <c r="G176" s="101"/>
      <c r="H176" s="101">
        <v>1.9</v>
      </c>
      <c r="I176" s="176"/>
      <c r="J176" s="164">
        <f t="shared" si="19"/>
        <v>3.2679999999999998</v>
      </c>
      <c r="K176" s="168"/>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70"/>
      <c r="AV176" s="170"/>
      <c r="AW176" s="170"/>
      <c r="AX176" s="170"/>
      <c r="AY176" s="170"/>
    </row>
    <row r="177" spans="1:51" s="171" customFormat="1" ht="15">
      <c r="A177" s="170"/>
      <c r="B177" s="129"/>
      <c r="C177" s="278"/>
      <c r="D177" s="172"/>
      <c r="E177" s="172">
        <v>2</v>
      </c>
      <c r="F177" s="101">
        <v>0.1</v>
      </c>
      <c r="G177" s="101"/>
      <c r="H177" s="101">
        <v>1.9</v>
      </c>
      <c r="I177" s="176"/>
      <c r="J177" s="164">
        <f t="shared" si="19"/>
        <v>0.38</v>
      </c>
      <c r="K177" s="168"/>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70"/>
      <c r="AV177" s="170"/>
      <c r="AW177" s="170"/>
      <c r="AX177" s="170"/>
      <c r="AY177" s="170"/>
    </row>
    <row r="178" spans="1:51" ht="15">
      <c r="B178" s="118">
        <v>7</v>
      </c>
      <c r="C178" s="71" t="s">
        <v>619</v>
      </c>
      <c r="D178" s="71"/>
      <c r="E178" s="71"/>
      <c r="F178" s="107"/>
      <c r="G178" s="107"/>
      <c r="H178" s="107"/>
      <c r="I178" s="71"/>
      <c r="J178" s="130"/>
    </row>
    <row r="179" spans="1:51" ht="15">
      <c r="B179" s="125" t="s">
        <v>620</v>
      </c>
      <c r="C179" s="72" t="s">
        <v>621</v>
      </c>
      <c r="D179" s="173"/>
      <c r="E179" s="173"/>
      <c r="F179" s="108"/>
      <c r="G179" s="108"/>
      <c r="H179" s="108"/>
      <c r="I179" s="72"/>
      <c r="J179" s="128"/>
    </row>
    <row r="180" spans="1:51" ht="15">
      <c r="B180" s="175" t="s">
        <v>622</v>
      </c>
      <c r="C180" s="176" t="s">
        <v>623</v>
      </c>
      <c r="D180" s="172" t="s">
        <v>543</v>
      </c>
      <c r="E180" s="172">
        <v>6</v>
      </c>
      <c r="F180" s="101"/>
      <c r="G180" s="101">
        <v>0.6</v>
      </c>
      <c r="H180" s="101">
        <v>1.8</v>
      </c>
      <c r="I180" s="176"/>
      <c r="J180" s="131">
        <f>E180*G180*H180</f>
        <v>6.4799999999999995</v>
      </c>
    </row>
    <row r="181" spans="1:51" ht="15">
      <c r="B181" s="125" t="s">
        <v>624</v>
      </c>
      <c r="C181" s="72" t="s">
        <v>625</v>
      </c>
      <c r="D181" s="73"/>
      <c r="E181" s="73"/>
      <c r="F181" s="109"/>
      <c r="G181" s="109"/>
      <c r="H181" s="109"/>
      <c r="I181" s="72"/>
      <c r="J181" s="128"/>
    </row>
    <row r="182" spans="1:51" ht="15">
      <c r="B182" s="129" t="s">
        <v>626</v>
      </c>
      <c r="C182" s="176" t="s">
        <v>627</v>
      </c>
      <c r="D182" s="172" t="s">
        <v>23</v>
      </c>
      <c r="E182" s="172"/>
      <c r="F182" s="101"/>
      <c r="G182" s="101"/>
      <c r="H182" s="101"/>
      <c r="I182" s="176"/>
      <c r="J182" s="131"/>
    </row>
    <row r="183" spans="1:51" ht="15">
      <c r="B183" s="129"/>
      <c r="C183" s="176" t="s">
        <v>628</v>
      </c>
      <c r="D183" s="172"/>
      <c r="E183" s="172">
        <v>15</v>
      </c>
      <c r="F183" s="101"/>
      <c r="G183" s="101"/>
      <c r="H183" s="101"/>
      <c r="I183" s="176"/>
      <c r="J183" s="131">
        <f>E183</f>
        <v>15</v>
      </c>
    </row>
    <row r="184" spans="1:51" ht="15">
      <c r="B184" s="129"/>
      <c r="C184" s="176" t="s">
        <v>1073</v>
      </c>
      <c r="D184" s="172"/>
      <c r="E184" s="172">
        <v>2</v>
      </c>
      <c r="F184" s="101"/>
      <c r="G184" s="101"/>
      <c r="H184" s="101"/>
      <c r="I184" s="176"/>
      <c r="J184" s="131">
        <f>E184</f>
        <v>2</v>
      </c>
    </row>
    <row r="185" spans="1:51" ht="15">
      <c r="B185" s="132" t="s">
        <v>629</v>
      </c>
      <c r="C185" s="72" t="s">
        <v>630</v>
      </c>
      <c r="D185" s="73"/>
      <c r="E185" s="73"/>
      <c r="F185" s="109"/>
      <c r="G185" s="109"/>
      <c r="H185" s="109"/>
      <c r="I185" s="72"/>
      <c r="J185" s="128"/>
    </row>
    <row r="186" spans="1:51" ht="15">
      <c r="B186" s="129" t="s">
        <v>631</v>
      </c>
      <c r="C186" s="176" t="s">
        <v>632</v>
      </c>
      <c r="D186" s="172" t="s">
        <v>633</v>
      </c>
      <c r="E186" s="172">
        <v>2</v>
      </c>
      <c r="F186" s="101"/>
      <c r="G186" s="101">
        <v>0.9</v>
      </c>
      <c r="H186" s="101">
        <v>2.1</v>
      </c>
      <c r="I186" s="176"/>
      <c r="J186" s="131">
        <f>E186</f>
        <v>2</v>
      </c>
    </row>
    <row r="187" spans="1:51" ht="15">
      <c r="B187" s="125" t="s">
        <v>634</v>
      </c>
      <c r="C187" s="72" t="s">
        <v>635</v>
      </c>
      <c r="D187" s="173"/>
      <c r="E187" s="173"/>
      <c r="F187" s="108"/>
      <c r="G187" s="108"/>
      <c r="H187" s="108"/>
      <c r="I187" s="72"/>
      <c r="J187" s="128"/>
    </row>
    <row r="188" spans="1:51" ht="15">
      <c r="B188" s="129" t="s">
        <v>636</v>
      </c>
      <c r="C188" s="176" t="s">
        <v>637</v>
      </c>
      <c r="D188" s="172" t="s">
        <v>543</v>
      </c>
      <c r="E188" s="172">
        <v>7</v>
      </c>
      <c r="F188" s="101"/>
      <c r="G188" s="101">
        <v>2</v>
      </c>
      <c r="H188" s="101">
        <v>1.2</v>
      </c>
      <c r="I188" s="176"/>
      <c r="J188" s="131">
        <f>E188*G188*H188</f>
        <v>16.8</v>
      </c>
    </row>
    <row r="189" spans="1:51" ht="15">
      <c r="B189" s="129" t="s">
        <v>638</v>
      </c>
      <c r="C189" s="176" t="s">
        <v>639</v>
      </c>
      <c r="D189" s="172" t="s">
        <v>543</v>
      </c>
      <c r="E189" s="172">
        <v>5</v>
      </c>
      <c r="F189" s="101"/>
      <c r="G189" s="101">
        <v>0.6</v>
      </c>
      <c r="H189" s="101">
        <v>0.7</v>
      </c>
      <c r="I189" s="176"/>
      <c r="J189" s="131">
        <f>E189*G189*H189</f>
        <v>2.0999999999999996</v>
      </c>
    </row>
    <row r="190" spans="1:51" ht="15">
      <c r="B190" s="129" t="s">
        <v>640</v>
      </c>
      <c r="C190" s="176" t="s">
        <v>641</v>
      </c>
      <c r="D190" s="172" t="s">
        <v>543</v>
      </c>
      <c r="E190" s="172">
        <v>5</v>
      </c>
      <c r="F190" s="101"/>
      <c r="G190" s="101">
        <v>1.1200000000000001</v>
      </c>
      <c r="H190" s="101">
        <v>1.94</v>
      </c>
      <c r="I190" s="176"/>
      <c r="J190" s="131">
        <f>E190*G190*H190</f>
        <v>10.864000000000001</v>
      </c>
    </row>
    <row r="191" spans="1:51" ht="15">
      <c r="A191" s="170"/>
      <c r="B191" s="129" t="s">
        <v>642</v>
      </c>
      <c r="C191" s="176" t="s">
        <v>643</v>
      </c>
      <c r="D191" s="172" t="s">
        <v>543</v>
      </c>
      <c r="E191" s="172">
        <v>1</v>
      </c>
      <c r="F191" s="101"/>
      <c r="G191" s="101">
        <v>1.1200000000000001</v>
      </c>
      <c r="H191" s="101">
        <v>1.94</v>
      </c>
      <c r="I191" s="176"/>
      <c r="J191" s="131">
        <f>E191*G191*H191</f>
        <v>2.1728000000000001</v>
      </c>
      <c r="K191" s="223"/>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70"/>
      <c r="AV191" s="170"/>
      <c r="AW191" s="170"/>
      <c r="AX191" s="170"/>
      <c r="AY191" s="170"/>
    </row>
    <row r="192" spans="1:51" ht="15">
      <c r="A192" s="170"/>
      <c r="B192" s="122"/>
      <c r="C192" s="177"/>
      <c r="D192" s="172"/>
      <c r="E192" s="172"/>
      <c r="F192" s="101"/>
      <c r="G192" s="101"/>
      <c r="H192" s="101"/>
      <c r="I192" s="177"/>
      <c r="J192" s="131"/>
      <c r="K192" s="223"/>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70"/>
      <c r="AV192" s="170"/>
      <c r="AW192" s="170"/>
      <c r="AX192" s="170"/>
      <c r="AY192" s="170"/>
    </row>
    <row r="193" spans="1:51" ht="15">
      <c r="A193" s="170"/>
      <c r="B193" s="118">
        <v>8</v>
      </c>
      <c r="C193" s="71" t="s">
        <v>644</v>
      </c>
      <c r="D193" s="71"/>
      <c r="E193" s="71"/>
      <c r="F193" s="107"/>
      <c r="G193" s="107"/>
      <c r="H193" s="107"/>
      <c r="I193" s="71"/>
      <c r="J193" s="130"/>
      <c r="K193" s="223"/>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70"/>
      <c r="AV193" s="170"/>
      <c r="AW193" s="170"/>
      <c r="AX193" s="170"/>
      <c r="AY193" s="170"/>
    </row>
    <row r="194" spans="1:51" ht="15">
      <c r="A194" s="170"/>
      <c r="B194" s="129" t="s">
        <v>645</v>
      </c>
      <c r="C194" s="176" t="s">
        <v>646</v>
      </c>
      <c r="D194" s="172" t="s">
        <v>610</v>
      </c>
      <c r="E194" s="172">
        <v>1</v>
      </c>
      <c r="F194" s="174">
        <v>16.41</v>
      </c>
      <c r="G194" s="174">
        <v>19.420000000000002</v>
      </c>
      <c r="H194" s="101"/>
      <c r="I194" s="123"/>
      <c r="J194" s="163">
        <f>E194*G194*F194</f>
        <v>318.68220000000002</v>
      </c>
      <c r="K194" s="223"/>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70"/>
      <c r="AV194" s="170"/>
      <c r="AW194" s="170"/>
      <c r="AX194" s="170"/>
      <c r="AY194" s="170"/>
    </row>
    <row r="195" spans="1:51" ht="15">
      <c r="A195" s="170"/>
      <c r="B195" s="129" t="s">
        <v>647</v>
      </c>
      <c r="C195" s="176" t="s">
        <v>648</v>
      </c>
      <c r="D195" s="172" t="s">
        <v>649</v>
      </c>
      <c r="E195" s="172">
        <v>1</v>
      </c>
      <c r="F195" s="101"/>
      <c r="G195" s="101">
        <v>16.22</v>
      </c>
      <c r="H195" s="101"/>
      <c r="I195" s="123"/>
      <c r="J195" s="163">
        <f>E195*G195</f>
        <v>16.22</v>
      </c>
      <c r="K195" s="223"/>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c r="AS195" s="170"/>
      <c r="AT195" s="170"/>
      <c r="AU195" s="170"/>
      <c r="AV195" s="170"/>
      <c r="AW195" s="170"/>
      <c r="AX195" s="170"/>
      <c r="AY195" s="170"/>
    </row>
    <row r="196" spans="1:51" ht="15">
      <c r="A196" s="170"/>
      <c r="B196" s="129" t="s">
        <v>650</v>
      </c>
      <c r="C196" s="176" t="s">
        <v>651</v>
      </c>
      <c r="D196" s="172" t="s">
        <v>649</v>
      </c>
      <c r="E196" s="172">
        <v>2</v>
      </c>
      <c r="F196" s="101"/>
      <c r="G196" s="101">
        <v>20.18</v>
      </c>
      <c r="H196" s="101"/>
      <c r="I196" s="229"/>
      <c r="J196" s="163">
        <f t="shared" ref="J196:J197" si="20">E196*G196</f>
        <v>40.36</v>
      </c>
      <c r="K196" s="223"/>
      <c r="L196" s="170"/>
      <c r="M196" s="170"/>
      <c r="N196" s="170"/>
      <c r="O196" s="170"/>
      <c r="P196" s="170"/>
      <c r="Q196" s="170"/>
      <c r="R196" s="170"/>
      <c r="S196" s="170"/>
      <c r="T196" s="170"/>
      <c r="U196" s="170"/>
      <c r="V196" s="170"/>
      <c r="W196" s="170"/>
      <c r="X196" s="170"/>
      <c r="Y196" s="170"/>
      <c r="Z196" s="170"/>
      <c r="AA196" s="170"/>
      <c r="AB196" s="170"/>
      <c r="AC196" s="170"/>
      <c r="AD196" s="170"/>
      <c r="AE196" s="170"/>
      <c r="AF196" s="170"/>
      <c r="AG196" s="170"/>
      <c r="AH196" s="170"/>
      <c r="AI196" s="170"/>
      <c r="AJ196" s="170"/>
      <c r="AK196" s="170"/>
      <c r="AL196" s="170"/>
      <c r="AM196" s="170"/>
      <c r="AN196" s="170"/>
      <c r="AO196" s="170"/>
      <c r="AP196" s="170"/>
      <c r="AQ196" s="170"/>
      <c r="AR196" s="170"/>
      <c r="AS196" s="170"/>
      <c r="AT196" s="170"/>
      <c r="AU196" s="170"/>
      <c r="AV196" s="170"/>
      <c r="AW196" s="170"/>
      <c r="AX196" s="170"/>
      <c r="AY196" s="170"/>
    </row>
    <row r="197" spans="1:51" ht="15">
      <c r="A197" s="170"/>
      <c r="B197" s="129" t="s">
        <v>652</v>
      </c>
      <c r="C197" s="176" t="s">
        <v>653</v>
      </c>
      <c r="D197" s="172" t="s">
        <v>649</v>
      </c>
      <c r="E197" s="172">
        <v>2</v>
      </c>
      <c r="F197" s="101"/>
      <c r="G197" s="101">
        <v>15.92</v>
      </c>
      <c r="H197" s="101"/>
      <c r="I197" s="229"/>
      <c r="J197" s="163">
        <f t="shared" si="20"/>
        <v>31.84</v>
      </c>
      <c r="K197" s="223"/>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70"/>
      <c r="AV197" s="170"/>
      <c r="AW197" s="170"/>
      <c r="AX197" s="170"/>
      <c r="AY197" s="170"/>
    </row>
    <row r="198" spans="1:51" ht="15">
      <c r="A198" s="170"/>
      <c r="B198" s="129" t="s">
        <v>654</v>
      </c>
      <c r="C198" s="176" t="s">
        <v>1077</v>
      </c>
      <c r="D198" s="172" t="s">
        <v>649</v>
      </c>
      <c r="E198" s="172"/>
      <c r="F198" s="101"/>
      <c r="G198" s="101"/>
      <c r="H198" s="101"/>
      <c r="I198" s="123"/>
      <c r="J198" s="163">
        <f>SUM(J199:J202)</f>
        <v>92.15</v>
      </c>
      <c r="K198" s="223"/>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c r="AS198" s="170"/>
      <c r="AT198" s="170"/>
      <c r="AU198" s="170"/>
      <c r="AV198" s="170"/>
      <c r="AW198" s="170"/>
      <c r="AX198" s="170"/>
      <c r="AY198" s="170"/>
    </row>
    <row r="199" spans="1:51" s="171" customFormat="1" ht="15">
      <c r="A199" s="170"/>
      <c r="B199" s="129"/>
      <c r="C199" s="176"/>
      <c r="D199" s="172"/>
      <c r="E199" s="172">
        <v>2</v>
      </c>
      <c r="F199" s="101"/>
      <c r="G199" s="101">
        <v>20.56</v>
      </c>
      <c r="H199" s="101"/>
      <c r="I199" s="123"/>
      <c r="J199" s="163">
        <f>E199*G199</f>
        <v>41.12</v>
      </c>
      <c r="K199" s="223"/>
      <c r="L199" s="170"/>
      <c r="M199" s="170"/>
      <c r="N199" s="170"/>
      <c r="O199" s="170"/>
      <c r="P199" s="170"/>
      <c r="Q199" s="170"/>
      <c r="R199" s="170"/>
      <c r="S199" s="170"/>
      <c r="T199" s="170"/>
      <c r="U199" s="170"/>
      <c r="V199" s="170"/>
      <c r="W199" s="170"/>
      <c r="X199" s="170"/>
      <c r="Y199" s="170"/>
      <c r="Z199" s="170"/>
      <c r="AA199" s="170"/>
      <c r="AB199" s="170"/>
      <c r="AC199" s="170"/>
      <c r="AD199" s="170"/>
      <c r="AE199" s="170"/>
      <c r="AF199" s="170"/>
      <c r="AG199" s="170"/>
      <c r="AH199" s="170"/>
      <c r="AI199" s="170"/>
      <c r="AJ199" s="170"/>
      <c r="AK199" s="170"/>
      <c r="AL199" s="170"/>
      <c r="AM199" s="170"/>
      <c r="AN199" s="170"/>
      <c r="AO199" s="170"/>
      <c r="AP199" s="170"/>
      <c r="AQ199" s="170"/>
      <c r="AR199" s="170"/>
      <c r="AS199" s="170"/>
      <c r="AT199" s="170"/>
      <c r="AU199" s="170"/>
      <c r="AV199" s="170"/>
      <c r="AW199" s="170"/>
      <c r="AX199" s="170"/>
      <c r="AY199" s="170"/>
    </row>
    <row r="200" spans="1:51" s="171" customFormat="1" ht="15">
      <c r="A200" s="170"/>
      <c r="B200" s="129"/>
      <c r="C200" s="176"/>
      <c r="D200" s="172"/>
      <c r="E200" s="172">
        <v>2</v>
      </c>
      <c r="F200" s="101"/>
      <c r="G200" s="101">
        <v>16.760000000000002</v>
      </c>
      <c r="H200" s="101"/>
      <c r="I200" s="123"/>
      <c r="J200" s="163">
        <f t="shared" ref="J200:J202" si="21">E200*G200</f>
        <v>33.520000000000003</v>
      </c>
      <c r="K200" s="223"/>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70"/>
      <c r="AV200" s="170"/>
      <c r="AW200" s="170"/>
      <c r="AX200" s="170"/>
      <c r="AY200" s="170"/>
    </row>
    <row r="201" spans="1:51" s="171" customFormat="1" ht="15">
      <c r="A201" s="170"/>
      <c r="B201" s="129"/>
      <c r="C201" s="176"/>
      <c r="D201" s="172"/>
      <c r="E201" s="172">
        <v>2</v>
      </c>
      <c r="F201" s="101"/>
      <c r="G201" s="101">
        <v>5.53</v>
      </c>
      <c r="H201" s="101"/>
      <c r="I201" s="123"/>
      <c r="J201" s="163">
        <f t="shared" si="21"/>
        <v>11.06</v>
      </c>
      <c r="K201" s="223"/>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70"/>
      <c r="AV201" s="170"/>
      <c r="AW201" s="170"/>
      <c r="AX201" s="170"/>
      <c r="AY201" s="170"/>
    </row>
    <row r="202" spans="1:51" s="171" customFormat="1" ht="15">
      <c r="A202" s="170"/>
      <c r="B202" s="129"/>
      <c r="C202" s="176"/>
      <c r="D202" s="172"/>
      <c r="E202" s="172">
        <v>1</v>
      </c>
      <c r="F202" s="101"/>
      <c r="G202" s="101">
        <v>6.45</v>
      </c>
      <c r="H202" s="101"/>
      <c r="I202" s="123"/>
      <c r="J202" s="163">
        <f t="shared" si="21"/>
        <v>6.45</v>
      </c>
      <c r="K202" s="223"/>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70"/>
      <c r="AV202" s="170"/>
      <c r="AW202" s="170"/>
      <c r="AX202" s="170"/>
      <c r="AY202" s="170"/>
    </row>
    <row r="203" spans="1:51" ht="15">
      <c r="A203" s="170"/>
      <c r="B203" s="118">
        <v>9</v>
      </c>
      <c r="C203" s="71" t="s">
        <v>655</v>
      </c>
      <c r="D203" s="71"/>
      <c r="E203" s="71"/>
      <c r="F203" s="107"/>
      <c r="G203" s="107"/>
      <c r="H203" s="107"/>
      <c r="I203" s="71"/>
      <c r="J203" s="130"/>
      <c r="K203" s="223"/>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c r="AS203" s="170"/>
      <c r="AT203" s="170"/>
      <c r="AU203" s="170"/>
      <c r="AV203" s="170"/>
      <c r="AW203" s="170"/>
      <c r="AX203" s="170"/>
      <c r="AY203" s="170"/>
    </row>
    <row r="204" spans="1:51" ht="25.5">
      <c r="A204" s="170"/>
      <c r="B204" s="129" t="s">
        <v>656</v>
      </c>
      <c r="C204" s="278" t="s">
        <v>657</v>
      </c>
      <c r="D204" s="172" t="s">
        <v>543</v>
      </c>
      <c r="E204" s="172">
        <v>16</v>
      </c>
      <c r="F204" s="101"/>
      <c r="G204" s="101"/>
      <c r="H204" s="101"/>
      <c r="I204" s="176" t="s">
        <v>658</v>
      </c>
      <c r="J204" s="165">
        <f>SUM(J205,J212)</f>
        <v>108.75999999999999</v>
      </c>
      <c r="K204" s="223"/>
      <c r="L204" s="133"/>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70"/>
      <c r="AV204" s="170"/>
      <c r="AW204" s="170"/>
      <c r="AX204" s="170"/>
      <c r="AY204" s="170"/>
    </row>
    <row r="205" spans="1:51" s="171" customFormat="1" ht="15">
      <c r="A205" s="170"/>
      <c r="B205" s="129"/>
      <c r="C205" s="288" t="s">
        <v>558</v>
      </c>
      <c r="D205" s="289"/>
      <c r="E205" s="289"/>
      <c r="F205" s="290"/>
      <c r="G205" s="290"/>
      <c r="H205" s="290"/>
      <c r="I205" s="123"/>
      <c r="J205" s="161">
        <f>SUM(J206:J211)</f>
        <v>19.439999999999998</v>
      </c>
      <c r="K205" s="223"/>
      <c r="L205" s="133"/>
      <c r="M205" s="170"/>
      <c r="N205" s="170"/>
      <c r="O205" s="170"/>
      <c r="P205" s="170"/>
      <c r="Q205" s="170"/>
      <c r="R205" s="170"/>
      <c r="S205" s="170"/>
      <c r="T205" s="170"/>
      <c r="U205" s="170"/>
      <c r="V205" s="170"/>
      <c r="W205" s="170"/>
      <c r="X205" s="170"/>
      <c r="Y205" s="170"/>
      <c r="Z205" s="170"/>
      <c r="AA205" s="170"/>
      <c r="AB205" s="170"/>
      <c r="AC205" s="170"/>
      <c r="AD205" s="170"/>
      <c r="AE205" s="170"/>
      <c r="AF205" s="170"/>
      <c r="AG205" s="170"/>
      <c r="AH205" s="170"/>
      <c r="AI205" s="170"/>
      <c r="AJ205" s="170"/>
      <c r="AK205" s="170"/>
      <c r="AL205" s="170"/>
      <c r="AM205" s="170"/>
      <c r="AN205" s="170"/>
      <c r="AO205" s="170"/>
      <c r="AP205" s="170"/>
      <c r="AQ205" s="170"/>
      <c r="AR205" s="170"/>
      <c r="AS205" s="170"/>
      <c r="AT205" s="170"/>
      <c r="AU205" s="170"/>
      <c r="AV205" s="170"/>
      <c r="AW205" s="170"/>
      <c r="AX205" s="170"/>
      <c r="AY205" s="170"/>
    </row>
    <row r="206" spans="1:51" s="171" customFormat="1" ht="15">
      <c r="A206" s="170"/>
      <c r="B206" s="129"/>
      <c r="C206" s="180" t="s">
        <v>559</v>
      </c>
      <c r="D206" s="172"/>
      <c r="E206" s="172">
        <v>6</v>
      </c>
      <c r="F206" s="101">
        <v>1</v>
      </c>
      <c r="G206" s="101"/>
      <c r="H206" s="101">
        <v>0.5</v>
      </c>
      <c r="I206" s="176" t="s">
        <v>1079</v>
      </c>
      <c r="J206" s="121"/>
      <c r="K206" s="223"/>
      <c r="L206" s="133"/>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70"/>
      <c r="AV206" s="170"/>
      <c r="AW206" s="170"/>
      <c r="AX206" s="170"/>
      <c r="AY206" s="170"/>
    </row>
    <row r="207" spans="1:51" s="171" customFormat="1" ht="15">
      <c r="A207" s="170"/>
      <c r="B207" s="129"/>
      <c r="C207" s="180" t="s">
        <v>561</v>
      </c>
      <c r="D207" s="172"/>
      <c r="E207" s="172">
        <v>5</v>
      </c>
      <c r="F207" s="101">
        <v>1.2</v>
      </c>
      <c r="G207" s="101"/>
      <c r="H207" s="101">
        <v>0.6</v>
      </c>
      <c r="I207" s="176" t="s">
        <v>1079</v>
      </c>
      <c r="J207" s="121"/>
      <c r="K207" s="223"/>
      <c r="L207" s="133"/>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70"/>
      <c r="AV207" s="170"/>
      <c r="AW207" s="170"/>
      <c r="AX207" s="170"/>
      <c r="AY207" s="170"/>
    </row>
    <row r="208" spans="1:51" s="171" customFormat="1" ht="15">
      <c r="A208" s="170"/>
      <c r="B208" s="129"/>
      <c r="C208" s="180" t="s">
        <v>562</v>
      </c>
      <c r="D208" s="172"/>
      <c r="E208" s="172">
        <v>2</v>
      </c>
      <c r="F208" s="101">
        <v>1.5</v>
      </c>
      <c r="G208" s="101"/>
      <c r="H208" s="101">
        <v>0.75</v>
      </c>
      <c r="I208" s="176" t="s">
        <v>1079</v>
      </c>
      <c r="J208" s="121"/>
      <c r="K208" s="223"/>
      <c r="L208" s="133"/>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70"/>
      <c r="AV208" s="170"/>
      <c r="AW208" s="170"/>
      <c r="AX208" s="170"/>
      <c r="AY208" s="170"/>
    </row>
    <row r="209" spans="1:51" s="171" customFormat="1" ht="15">
      <c r="A209" s="170"/>
      <c r="B209" s="129"/>
      <c r="C209" s="180" t="s">
        <v>563</v>
      </c>
      <c r="D209" s="172"/>
      <c r="E209" s="172">
        <v>1</v>
      </c>
      <c r="F209" s="101">
        <v>1.8</v>
      </c>
      <c r="G209" s="101">
        <v>1.8</v>
      </c>
      <c r="H209" s="101">
        <v>0.8</v>
      </c>
      <c r="I209" s="123"/>
      <c r="J209" s="121">
        <f>TRUNC((F209+G209)*2*H209,2)</f>
        <v>5.76</v>
      </c>
      <c r="K209" s="223"/>
      <c r="L209" s="133"/>
      <c r="M209" s="170"/>
      <c r="N209" s="170"/>
      <c r="O209" s="170"/>
      <c r="P209" s="170"/>
      <c r="Q209" s="170"/>
      <c r="R209" s="170"/>
      <c r="S209" s="170"/>
      <c r="T209" s="170"/>
      <c r="U209" s="170"/>
      <c r="V209" s="170"/>
      <c r="W209" s="170"/>
      <c r="X209" s="170"/>
      <c r="Y209" s="170"/>
      <c r="Z209" s="170"/>
      <c r="AA209" s="170"/>
      <c r="AB209" s="170"/>
      <c r="AC209" s="170"/>
      <c r="AD209" s="170"/>
      <c r="AE209" s="170"/>
      <c r="AF209" s="170"/>
      <c r="AG209" s="170"/>
      <c r="AH209" s="170"/>
      <c r="AI209" s="170"/>
      <c r="AJ209" s="170"/>
      <c r="AK209" s="170"/>
      <c r="AL209" s="170"/>
      <c r="AM209" s="170"/>
      <c r="AN209" s="170"/>
      <c r="AO209" s="170"/>
      <c r="AP209" s="170"/>
      <c r="AQ209" s="170"/>
      <c r="AR209" s="170"/>
      <c r="AS209" s="170"/>
      <c r="AT209" s="170"/>
      <c r="AU209" s="170"/>
      <c r="AV209" s="170"/>
      <c r="AW209" s="170"/>
      <c r="AX209" s="170"/>
      <c r="AY209" s="170"/>
    </row>
    <row r="210" spans="1:51" s="171" customFormat="1" ht="15">
      <c r="A210" s="170"/>
      <c r="B210" s="129"/>
      <c r="C210" s="180" t="s">
        <v>565</v>
      </c>
      <c r="D210" s="172"/>
      <c r="E210" s="172">
        <v>1</v>
      </c>
      <c r="F210" s="101">
        <v>1.6</v>
      </c>
      <c r="G210" s="101">
        <v>1.6</v>
      </c>
      <c r="H210" s="101">
        <v>0.7</v>
      </c>
      <c r="I210" s="123"/>
      <c r="J210" s="121">
        <f t="shared" ref="J210:J211" si="22">TRUNC((F210+G210)*2*H210,2)</f>
        <v>4.4800000000000004</v>
      </c>
      <c r="K210" s="223"/>
      <c r="L210" s="133"/>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70"/>
      <c r="AV210" s="170"/>
      <c r="AW210" s="170"/>
      <c r="AX210" s="170"/>
      <c r="AY210" s="170"/>
    </row>
    <row r="211" spans="1:51" s="171" customFormat="1" ht="15">
      <c r="A211" s="170"/>
      <c r="B211" s="129"/>
      <c r="C211" s="180" t="s">
        <v>566</v>
      </c>
      <c r="D211" s="172"/>
      <c r="E211" s="172">
        <v>1</v>
      </c>
      <c r="F211" s="101">
        <v>2.2999999999999998</v>
      </c>
      <c r="G211" s="101">
        <v>2.2999999999999998</v>
      </c>
      <c r="H211" s="101">
        <v>1</v>
      </c>
      <c r="I211" s="123"/>
      <c r="J211" s="121">
        <f t="shared" si="22"/>
        <v>9.1999999999999993</v>
      </c>
      <c r="K211" s="223"/>
      <c r="L211" s="133"/>
      <c r="M211" s="170"/>
      <c r="N211" s="170"/>
      <c r="O211" s="170"/>
      <c r="P211" s="170"/>
      <c r="Q211" s="170"/>
      <c r="R211" s="170"/>
      <c r="S211" s="170"/>
      <c r="T211" s="170"/>
      <c r="U211" s="170"/>
      <c r="V211" s="170"/>
      <c r="W211" s="170"/>
      <c r="X211" s="170"/>
      <c r="Y211" s="170"/>
      <c r="Z211" s="170"/>
      <c r="AA211" s="170"/>
      <c r="AB211" s="170"/>
      <c r="AC211" s="170"/>
      <c r="AD211" s="170"/>
      <c r="AE211" s="170"/>
      <c r="AF211" s="170"/>
      <c r="AG211" s="170"/>
      <c r="AH211" s="170"/>
      <c r="AI211" s="170"/>
      <c r="AJ211" s="170"/>
      <c r="AK211" s="170"/>
      <c r="AL211" s="170"/>
      <c r="AM211" s="170"/>
      <c r="AN211" s="170"/>
      <c r="AO211" s="170"/>
      <c r="AP211" s="170"/>
      <c r="AQ211" s="170"/>
      <c r="AR211" s="170"/>
      <c r="AS211" s="170"/>
      <c r="AT211" s="170"/>
      <c r="AU211" s="170"/>
      <c r="AV211" s="170"/>
      <c r="AW211" s="170"/>
      <c r="AX211" s="170"/>
      <c r="AY211" s="170"/>
    </row>
    <row r="212" spans="1:51" s="171" customFormat="1" ht="15">
      <c r="A212" s="170"/>
      <c r="B212" s="129"/>
      <c r="C212" s="315" t="s">
        <v>567</v>
      </c>
      <c r="D212" s="289"/>
      <c r="E212" s="289"/>
      <c r="F212" s="290"/>
      <c r="G212" s="290"/>
      <c r="H212" s="290"/>
      <c r="I212" s="123"/>
      <c r="J212" s="161">
        <f>SUM(J213:J216)</f>
        <v>89.32</v>
      </c>
      <c r="K212" s="223"/>
      <c r="L212" s="133"/>
      <c r="M212" s="170"/>
      <c r="N212" s="170"/>
      <c r="O212" s="170"/>
      <c r="P212" s="170"/>
      <c r="Q212" s="170"/>
      <c r="R212" s="170"/>
      <c r="S212" s="170"/>
      <c r="T212" s="170"/>
      <c r="U212" s="170"/>
      <c r="V212" s="170"/>
      <c r="W212" s="170"/>
      <c r="X212" s="170"/>
      <c r="Y212" s="170"/>
      <c r="Z212" s="170"/>
      <c r="AA212" s="170"/>
      <c r="AB212" s="170"/>
      <c r="AC212" s="170"/>
      <c r="AD212" s="170"/>
      <c r="AE212" s="170"/>
      <c r="AF212" s="170"/>
      <c r="AG212" s="170"/>
      <c r="AH212" s="170"/>
      <c r="AI212" s="170"/>
      <c r="AJ212" s="170"/>
      <c r="AK212" s="170"/>
      <c r="AL212" s="170"/>
      <c r="AM212" s="170"/>
      <c r="AN212" s="170"/>
      <c r="AO212" s="170"/>
      <c r="AP212" s="170"/>
      <c r="AQ212" s="170"/>
      <c r="AR212" s="170"/>
      <c r="AS212" s="170"/>
      <c r="AT212" s="170"/>
      <c r="AU212" s="170"/>
      <c r="AV212" s="170"/>
      <c r="AW212" s="170"/>
      <c r="AX212" s="170"/>
      <c r="AY212" s="170"/>
    </row>
    <row r="213" spans="1:51" s="171" customFormat="1" ht="15">
      <c r="A213" s="170"/>
      <c r="B213" s="129"/>
      <c r="C213" s="316" t="s">
        <v>568</v>
      </c>
      <c r="D213" s="172"/>
      <c r="E213" s="172">
        <v>3</v>
      </c>
      <c r="F213" s="281">
        <v>2</v>
      </c>
      <c r="G213" s="101">
        <f>9.1+6.55+4.47</f>
        <v>20.119999999999997</v>
      </c>
      <c r="H213" s="101">
        <v>0.3</v>
      </c>
      <c r="I213" s="123"/>
      <c r="J213" s="121">
        <f>TRUNC(E213*F213*G213*H213,2)</f>
        <v>36.21</v>
      </c>
      <c r="K213" s="223"/>
      <c r="L213" s="133"/>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70"/>
      <c r="AV213" s="170"/>
      <c r="AW213" s="170"/>
      <c r="AX213" s="170"/>
      <c r="AY213" s="170"/>
    </row>
    <row r="214" spans="1:51" s="171" customFormat="1" ht="15">
      <c r="A214" s="170"/>
      <c r="B214" s="129"/>
      <c r="C214" s="316" t="s">
        <v>569</v>
      </c>
      <c r="D214" s="172"/>
      <c r="E214" s="172">
        <v>4</v>
      </c>
      <c r="F214" s="281">
        <v>2</v>
      </c>
      <c r="G214" s="101">
        <f>7+9.4</f>
        <v>16.399999999999999</v>
      </c>
      <c r="H214" s="101">
        <v>0.3</v>
      </c>
      <c r="I214" s="123"/>
      <c r="J214" s="121">
        <f t="shared" ref="J214:J216" si="23">TRUNC(E214*F214*G214*H214,2)</f>
        <v>39.36</v>
      </c>
      <c r="K214" s="223"/>
      <c r="L214" s="133"/>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0"/>
      <c r="AT214" s="170"/>
      <c r="AU214" s="170"/>
      <c r="AV214" s="170"/>
      <c r="AW214" s="170"/>
      <c r="AX214" s="170"/>
      <c r="AY214" s="170"/>
    </row>
    <row r="215" spans="1:51" s="171" customFormat="1" ht="15">
      <c r="A215" s="170"/>
      <c r="B215" s="129"/>
      <c r="C215" s="316" t="s">
        <v>570</v>
      </c>
      <c r="D215" s="172"/>
      <c r="E215" s="172">
        <v>2</v>
      </c>
      <c r="F215" s="281">
        <v>2</v>
      </c>
      <c r="G215" s="101">
        <f>5.279</f>
        <v>5.2789999999999999</v>
      </c>
      <c r="H215" s="101">
        <v>0.3</v>
      </c>
      <c r="I215" s="123"/>
      <c r="J215" s="121">
        <f t="shared" si="23"/>
        <v>6.33</v>
      </c>
      <c r="K215" s="223"/>
      <c r="L215" s="133"/>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c r="AS215" s="170"/>
      <c r="AT215" s="170"/>
      <c r="AU215" s="170"/>
      <c r="AV215" s="170"/>
      <c r="AW215" s="170"/>
      <c r="AX215" s="170"/>
      <c r="AY215" s="170"/>
    </row>
    <row r="216" spans="1:51" s="171" customFormat="1" ht="15">
      <c r="A216" s="170"/>
      <c r="B216" s="129"/>
      <c r="C216" s="316" t="s">
        <v>571</v>
      </c>
      <c r="D216" s="172"/>
      <c r="E216" s="172">
        <v>2</v>
      </c>
      <c r="F216" s="281">
        <v>2</v>
      </c>
      <c r="G216" s="101">
        <v>6.1849999999999996</v>
      </c>
      <c r="H216" s="101">
        <v>0.3</v>
      </c>
      <c r="I216" s="123"/>
      <c r="J216" s="121">
        <f t="shared" si="23"/>
        <v>7.42</v>
      </c>
      <c r="K216" s="223"/>
      <c r="L216" s="133"/>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70"/>
      <c r="AV216" s="170"/>
      <c r="AW216" s="170"/>
      <c r="AX216" s="170"/>
      <c r="AY216" s="170"/>
    </row>
    <row r="217" spans="1:51" s="171" customFormat="1" ht="15">
      <c r="A217" s="170"/>
      <c r="B217" s="129"/>
      <c r="C217" s="278"/>
      <c r="D217" s="172"/>
      <c r="E217" s="172"/>
      <c r="F217" s="101"/>
      <c r="G217" s="101"/>
      <c r="H217" s="101"/>
      <c r="I217" s="176"/>
      <c r="J217" s="166"/>
      <c r="K217" s="223"/>
      <c r="L217" s="133"/>
      <c r="M217" s="170"/>
      <c r="N217" s="170"/>
      <c r="O217" s="170"/>
      <c r="P217" s="170"/>
      <c r="Q217" s="170"/>
      <c r="R217" s="170"/>
      <c r="S217" s="170"/>
      <c r="T217" s="170"/>
      <c r="U217" s="170"/>
      <c r="V217" s="170"/>
      <c r="W217" s="170"/>
      <c r="X217" s="170"/>
      <c r="Y217" s="170"/>
      <c r="Z217" s="170"/>
      <c r="AA217" s="170"/>
      <c r="AB217" s="170"/>
      <c r="AC217" s="170"/>
      <c r="AD217" s="170"/>
      <c r="AE217" s="170"/>
      <c r="AF217" s="170"/>
      <c r="AG217" s="170"/>
      <c r="AH217" s="170"/>
      <c r="AI217" s="170"/>
      <c r="AJ217" s="170"/>
      <c r="AK217" s="170"/>
      <c r="AL217" s="170"/>
      <c r="AM217" s="170"/>
      <c r="AN217" s="170"/>
      <c r="AO217" s="170"/>
      <c r="AP217" s="170"/>
      <c r="AQ217" s="170"/>
      <c r="AR217" s="170"/>
      <c r="AS217" s="170"/>
      <c r="AT217" s="170"/>
      <c r="AU217" s="170"/>
      <c r="AV217" s="170"/>
      <c r="AW217" s="170"/>
      <c r="AX217" s="170"/>
      <c r="AY217" s="170"/>
    </row>
    <row r="218" spans="1:51" ht="38.25">
      <c r="A218" s="170"/>
      <c r="B218" s="129" t="s">
        <v>659</v>
      </c>
      <c r="C218" s="278" t="s">
        <v>660</v>
      </c>
      <c r="D218" s="172" t="s">
        <v>543</v>
      </c>
      <c r="E218" s="172"/>
      <c r="F218" s="101">
        <v>7.45</v>
      </c>
      <c r="G218" s="101">
        <v>6.53</v>
      </c>
      <c r="H218" s="101"/>
      <c r="I218" s="278" t="s">
        <v>1080</v>
      </c>
      <c r="J218" s="121">
        <f>TRUNC(F218*G218,2)</f>
        <v>48.64</v>
      </c>
      <c r="K218" s="223"/>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0"/>
      <c r="AT218" s="170"/>
      <c r="AU218" s="170"/>
      <c r="AV218" s="170"/>
      <c r="AW218" s="170"/>
      <c r="AX218" s="170"/>
      <c r="AY218" s="170"/>
    </row>
    <row r="219" spans="1:51" ht="15">
      <c r="A219" s="170"/>
      <c r="B219" s="129"/>
      <c r="C219" s="177"/>
      <c r="D219" s="177"/>
      <c r="E219" s="177"/>
      <c r="F219" s="127"/>
      <c r="G219" s="127"/>
      <c r="H219" s="127"/>
      <c r="I219" s="177"/>
      <c r="J219" s="131"/>
      <c r="K219" s="223"/>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70"/>
      <c r="AV219" s="170"/>
      <c r="AW219" s="170"/>
      <c r="AX219" s="170"/>
      <c r="AY219" s="170"/>
    </row>
    <row r="220" spans="1:51" ht="15">
      <c r="A220" s="170"/>
      <c r="B220" s="118">
        <v>10</v>
      </c>
      <c r="C220" s="71" t="s">
        <v>661</v>
      </c>
      <c r="D220" s="71"/>
      <c r="E220" s="71"/>
      <c r="F220" s="107"/>
      <c r="G220" s="107"/>
      <c r="H220" s="107"/>
      <c r="I220" s="71"/>
      <c r="J220" s="130"/>
      <c r="K220" s="223"/>
      <c r="L220" s="170"/>
      <c r="M220" s="170"/>
      <c r="N220" s="170"/>
      <c r="O220" s="170"/>
      <c r="P220" s="170"/>
      <c r="Q220" s="170"/>
      <c r="R220" s="170"/>
      <c r="S220" s="170"/>
      <c r="T220" s="170"/>
      <c r="U220" s="170"/>
      <c r="V220" s="170"/>
      <c r="W220" s="170"/>
      <c r="X220" s="170"/>
      <c r="Y220" s="170"/>
      <c r="Z220" s="170"/>
      <c r="AA220" s="170"/>
      <c r="AB220" s="170"/>
      <c r="AC220" s="170"/>
      <c r="AD220" s="170"/>
      <c r="AE220" s="170"/>
      <c r="AF220" s="170"/>
      <c r="AG220" s="170"/>
      <c r="AH220" s="170"/>
      <c r="AI220" s="170"/>
      <c r="AJ220" s="170"/>
      <c r="AK220" s="170"/>
      <c r="AL220" s="170"/>
      <c r="AM220" s="170"/>
      <c r="AN220" s="170"/>
      <c r="AO220" s="170"/>
      <c r="AP220" s="170"/>
      <c r="AQ220" s="170"/>
      <c r="AR220" s="170"/>
      <c r="AS220" s="170"/>
      <c r="AT220" s="170"/>
      <c r="AU220" s="170"/>
      <c r="AV220" s="170"/>
      <c r="AW220" s="170"/>
      <c r="AX220" s="170"/>
      <c r="AY220" s="170"/>
    </row>
    <row r="221" spans="1:51" ht="25.5">
      <c r="A221" s="170"/>
      <c r="B221" s="129" t="s">
        <v>662</v>
      </c>
      <c r="C221" s="298" t="s">
        <v>663</v>
      </c>
      <c r="D221" s="172" t="s">
        <v>543</v>
      </c>
      <c r="E221" s="172"/>
      <c r="F221" s="101"/>
      <c r="G221" s="101"/>
      <c r="H221" s="101"/>
      <c r="I221" s="176"/>
      <c r="J221" s="167">
        <f>SUM(J222:J225)</f>
        <v>75.509999999999991</v>
      </c>
      <c r="K221" s="223"/>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c r="AS221" s="170"/>
      <c r="AT221" s="170"/>
      <c r="AU221" s="170"/>
      <c r="AV221" s="170"/>
      <c r="AW221" s="170"/>
      <c r="AX221" s="170"/>
      <c r="AY221" s="170"/>
    </row>
    <row r="222" spans="1:51" s="171" customFormat="1" ht="15">
      <c r="A222" s="170"/>
      <c r="B222" s="129"/>
      <c r="C222" s="179" t="s">
        <v>1081</v>
      </c>
      <c r="D222" s="172"/>
      <c r="E222" s="172">
        <v>2</v>
      </c>
      <c r="F222" s="101">
        <v>5.08</v>
      </c>
      <c r="G222" s="101">
        <v>3.25</v>
      </c>
      <c r="H222" s="101">
        <v>1.5</v>
      </c>
      <c r="I222" s="176"/>
      <c r="J222" s="166">
        <f>TRUNC(E222*(F222+G222)*H222,2)</f>
        <v>24.99</v>
      </c>
      <c r="K222" s="223"/>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c r="AS222" s="170"/>
      <c r="AT222" s="170"/>
      <c r="AU222" s="170"/>
      <c r="AV222" s="170"/>
      <c r="AW222" s="170"/>
      <c r="AX222" s="170"/>
      <c r="AY222" s="170"/>
    </row>
    <row r="223" spans="1:51" s="171" customFormat="1" ht="15">
      <c r="A223" s="170"/>
      <c r="B223" s="129"/>
      <c r="C223" s="179" t="s">
        <v>1082</v>
      </c>
      <c r="D223" s="172"/>
      <c r="E223" s="172">
        <v>2</v>
      </c>
      <c r="F223" s="101">
        <v>5.08</v>
      </c>
      <c r="G223" s="101">
        <v>2.5299999999999998</v>
      </c>
      <c r="H223" s="101">
        <v>1.5</v>
      </c>
      <c r="I223" s="176"/>
      <c r="J223" s="166">
        <f>TRUNC(E223*(F223+G223)*H223,2)</f>
        <v>22.83</v>
      </c>
      <c r="K223" s="223"/>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70"/>
      <c r="AV223" s="170"/>
      <c r="AW223" s="170"/>
      <c r="AX223" s="170"/>
      <c r="AY223" s="170"/>
    </row>
    <row r="224" spans="1:51" s="171" customFormat="1" ht="15">
      <c r="A224" s="170"/>
      <c r="B224" s="129"/>
      <c r="C224" s="179" t="s">
        <v>1083</v>
      </c>
      <c r="D224" s="172"/>
      <c r="E224" s="172">
        <v>2</v>
      </c>
      <c r="F224" s="101">
        <v>2.59</v>
      </c>
      <c r="G224" s="101">
        <v>2.0299999999999998</v>
      </c>
      <c r="H224" s="101">
        <v>1.5</v>
      </c>
      <c r="I224" s="176"/>
      <c r="J224" s="166">
        <f t="shared" ref="J224:J225" si="24">TRUNC(E224*(F224+G224)*H224,2)</f>
        <v>13.86</v>
      </c>
      <c r="K224" s="223"/>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70"/>
      <c r="AV224" s="170"/>
      <c r="AW224" s="170"/>
      <c r="AX224" s="170"/>
      <c r="AY224" s="170"/>
    </row>
    <row r="225" spans="1:51" s="171" customFormat="1" ht="15">
      <c r="A225" s="170"/>
      <c r="B225" s="129"/>
      <c r="C225" s="179" t="s">
        <v>1083</v>
      </c>
      <c r="D225" s="172"/>
      <c r="E225" s="172">
        <v>2</v>
      </c>
      <c r="F225" s="101">
        <v>2.59</v>
      </c>
      <c r="G225" s="101">
        <v>2.02</v>
      </c>
      <c r="H225" s="101">
        <v>1.5</v>
      </c>
      <c r="I225" s="176"/>
      <c r="J225" s="166">
        <f t="shared" si="24"/>
        <v>13.83</v>
      </c>
      <c r="K225" s="223"/>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70"/>
      <c r="AV225" s="170"/>
      <c r="AW225" s="170"/>
      <c r="AX225" s="170"/>
      <c r="AY225" s="170"/>
    </row>
    <row r="226" spans="1:51" s="171" customFormat="1" ht="15">
      <c r="A226" s="170"/>
      <c r="B226" s="129"/>
      <c r="C226" s="179"/>
      <c r="D226" s="172"/>
      <c r="E226" s="172"/>
      <c r="F226" s="101"/>
      <c r="G226" s="101"/>
      <c r="H226" s="101"/>
      <c r="I226" s="176"/>
      <c r="J226" s="166"/>
      <c r="K226" s="223"/>
      <c r="L226" s="170"/>
      <c r="M226" s="170"/>
      <c r="N226" s="170"/>
      <c r="O226" s="170"/>
      <c r="P226" s="170"/>
      <c r="Q226" s="170"/>
      <c r="R226" s="170"/>
      <c r="S226" s="170"/>
      <c r="T226" s="170"/>
      <c r="U226" s="170"/>
      <c r="V226" s="170"/>
      <c r="W226" s="170"/>
      <c r="X226" s="170"/>
      <c r="Y226" s="170"/>
      <c r="Z226" s="170"/>
      <c r="AA226" s="170"/>
      <c r="AB226" s="170"/>
      <c r="AC226" s="170"/>
      <c r="AD226" s="170"/>
      <c r="AE226" s="170"/>
      <c r="AF226" s="170"/>
      <c r="AG226" s="170"/>
      <c r="AH226" s="170"/>
      <c r="AI226" s="170"/>
      <c r="AJ226" s="170"/>
      <c r="AK226" s="170"/>
      <c r="AL226" s="170"/>
      <c r="AM226" s="170"/>
      <c r="AN226" s="170"/>
      <c r="AO226" s="170"/>
      <c r="AP226" s="170"/>
      <c r="AQ226" s="170"/>
      <c r="AR226" s="170"/>
      <c r="AS226" s="170"/>
      <c r="AT226" s="170"/>
      <c r="AU226" s="170"/>
      <c r="AV226" s="170"/>
      <c r="AW226" s="170"/>
      <c r="AX226" s="170"/>
      <c r="AY226" s="170"/>
    </row>
    <row r="227" spans="1:51" ht="89.25">
      <c r="A227" s="170"/>
      <c r="B227" s="129" t="s">
        <v>664</v>
      </c>
      <c r="C227" s="278" t="s">
        <v>665</v>
      </c>
      <c r="D227" s="172" t="s">
        <v>543</v>
      </c>
      <c r="E227" s="172"/>
      <c r="F227" s="101"/>
      <c r="G227" s="101"/>
      <c r="H227" s="101"/>
      <c r="I227" s="278"/>
      <c r="J227" s="166">
        <f>SUM(J228:J233)</f>
        <v>60.720000000000006</v>
      </c>
      <c r="K227" s="223"/>
      <c r="L227" s="170"/>
      <c r="M227" s="170"/>
      <c r="N227" s="170"/>
      <c r="O227" s="170"/>
      <c r="P227" s="170"/>
      <c r="Q227" s="170"/>
      <c r="R227" s="170"/>
      <c r="S227" s="170"/>
      <c r="T227" s="170"/>
      <c r="U227" s="170"/>
      <c r="V227" s="170"/>
      <c r="W227" s="170"/>
      <c r="X227" s="170"/>
      <c r="Y227" s="170"/>
      <c r="Z227" s="170"/>
      <c r="AA227" s="170"/>
      <c r="AB227" s="170"/>
      <c r="AC227" s="170"/>
      <c r="AD227" s="170"/>
      <c r="AE227" s="170"/>
      <c r="AF227" s="170"/>
      <c r="AG227" s="170"/>
      <c r="AH227" s="170"/>
      <c r="AI227" s="170"/>
      <c r="AJ227" s="170"/>
      <c r="AK227" s="170"/>
      <c r="AL227" s="170"/>
      <c r="AM227" s="170"/>
      <c r="AN227" s="170"/>
      <c r="AO227" s="170"/>
      <c r="AP227" s="170"/>
      <c r="AQ227" s="170"/>
      <c r="AR227" s="170"/>
      <c r="AS227" s="170"/>
      <c r="AT227" s="170"/>
      <c r="AU227" s="170"/>
      <c r="AV227" s="170"/>
      <c r="AW227" s="170"/>
      <c r="AX227" s="170"/>
      <c r="AY227" s="170"/>
    </row>
    <row r="228" spans="1:51" s="171" customFormat="1" ht="15">
      <c r="A228" s="170"/>
      <c r="B228" s="129"/>
      <c r="C228" s="176"/>
      <c r="D228" s="172"/>
      <c r="E228" s="172">
        <v>1</v>
      </c>
      <c r="F228" s="101">
        <v>0.9</v>
      </c>
      <c r="G228" s="101">
        <v>16.760000000000002</v>
      </c>
      <c r="H228" s="101"/>
      <c r="I228" s="176"/>
      <c r="J228" s="166">
        <f>TRUNC(E228*F228*G228,2)</f>
        <v>15.08</v>
      </c>
      <c r="K228" s="223"/>
      <c r="L228" s="170"/>
      <c r="M228" s="170"/>
      <c r="N228" s="170"/>
      <c r="O228" s="170"/>
      <c r="P228" s="170"/>
      <c r="Q228" s="170"/>
      <c r="R228" s="170"/>
      <c r="S228" s="170"/>
      <c r="T228" s="170"/>
      <c r="U228" s="170"/>
      <c r="V228" s="170"/>
      <c r="W228" s="170"/>
      <c r="X228" s="170"/>
      <c r="Y228" s="170"/>
      <c r="Z228" s="170"/>
      <c r="AA228" s="170"/>
      <c r="AB228" s="170"/>
      <c r="AC228" s="170"/>
      <c r="AD228" s="170"/>
      <c r="AE228" s="170"/>
      <c r="AF228" s="170"/>
      <c r="AG228" s="170"/>
      <c r="AH228" s="170"/>
      <c r="AI228" s="170"/>
      <c r="AJ228" s="170"/>
      <c r="AK228" s="170"/>
      <c r="AL228" s="170"/>
      <c r="AM228" s="170"/>
      <c r="AN228" s="170"/>
      <c r="AO228" s="170"/>
      <c r="AP228" s="170"/>
      <c r="AQ228" s="170"/>
      <c r="AR228" s="170"/>
      <c r="AS228" s="170"/>
      <c r="AT228" s="170"/>
      <c r="AU228" s="170"/>
      <c r="AV228" s="170"/>
      <c r="AW228" s="170"/>
      <c r="AX228" s="170"/>
      <c r="AY228" s="170"/>
    </row>
    <row r="229" spans="1:51" s="171" customFormat="1" ht="15">
      <c r="A229" s="170"/>
      <c r="B229" s="129"/>
      <c r="C229" s="176"/>
      <c r="D229" s="172"/>
      <c r="E229" s="172">
        <v>1</v>
      </c>
      <c r="F229" s="101">
        <v>0.5</v>
      </c>
      <c r="G229" s="101">
        <v>16.760000000000002</v>
      </c>
      <c r="H229" s="101"/>
      <c r="I229" s="176"/>
      <c r="J229" s="166">
        <f t="shared" ref="J229:J233" si="25">TRUNC(E229*F229*G229,2)</f>
        <v>8.3800000000000008</v>
      </c>
      <c r="K229" s="223"/>
      <c r="L229" s="170"/>
      <c r="M229" s="170"/>
      <c r="N229" s="170"/>
      <c r="O229" s="170"/>
      <c r="P229" s="170"/>
      <c r="Q229" s="170"/>
      <c r="R229" s="170"/>
      <c r="S229" s="170"/>
      <c r="T229" s="170"/>
      <c r="U229" s="170"/>
      <c r="V229" s="170"/>
      <c r="W229" s="170"/>
      <c r="X229" s="170"/>
      <c r="Y229" s="170"/>
      <c r="Z229" s="170"/>
      <c r="AA229" s="170"/>
      <c r="AB229" s="170"/>
      <c r="AC229" s="170"/>
      <c r="AD229" s="170"/>
      <c r="AE229" s="170"/>
      <c r="AF229" s="170"/>
      <c r="AG229" s="170"/>
      <c r="AH229" s="170"/>
      <c r="AI229" s="170"/>
      <c r="AJ229" s="170"/>
      <c r="AK229" s="170"/>
      <c r="AL229" s="170"/>
      <c r="AM229" s="170"/>
      <c r="AN229" s="170"/>
      <c r="AO229" s="170"/>
      <c r="AP229" s="170"/>
      <c r="AQ229" s="170"/>
      <c r="AR229" s="170"/>
      <c r="AS229" s="170"/>
      <c r="AT229" s="170"/>
      <c r="AU229" s="170"/>
      <c r="AV229" s="170"/>
      <c r="AW229" s="170"/>
      <c r="AX229" s="170"/>
      <c r="AY229" s="170"/>
    </row>
    <row r="230" spans="1:51" s="171" customFormat="1" ht="15">
      <c r="A230" s="170"/>
      <c r="B230" s="129"/>
      <c r="C230" s="176"/>
      <c r="D230" s="172"/>
      <c r="E230" s="172">
        <v>1</v>
      </c>
      <c r="F230" s="101">
        <v>0.5</v>
      </c>
      <c r="G230" s="101">
        <v>14.96</v>
      </c>
      <c r="H230" s="101"/>
      <c r="I230" s="176"/>
      <c r="J230" s="166">
        <f t="shared" si="25"/>
        <v>7.48</v>
      </c>
      <c r="K230" s="223"/>
      <c r="L230" s="170"/>
      <c r="M230" s="170"/>
      <c r="N230" s="170"/>
      <c r="O230" s="170"/>
      <c r="P230" s="170"/>
      <c r="Q230" s="170"/>
      <c r="R230" s="170"/>
      <c r="S230" s="170"/>
      <c r="T230" s="170"/>
      <c r="U230" s="170"/>
      <c r="V230" s="170"/>
      <c r="W230" s="170"/>
      <c r="X230" s="170"/>
      <c r="Y230" s="170"/>
      <c r="Z230" s="170"/>
      <c r="AA230" s="170"/>
      <c r="AB230" s="170"/>
      <c r="AC230" s="170"/>
      <c r="AD230" s="170"/>
      <c r="AE230" s="170"/>
      <c r="AF230" s="170"/>
      <c r="AG230" s="170"/>
      <c r="AH230" s="170"/>
      <c r="AI230" s="170"/>
      <c r="AJ230" s="170"/>
      <c r="AK230" s="170"/>
      <c r="AL230" s="170"/>
      <c r="AM230" s="170"/>
      <c r="AN230" s="170"/>
      <c r="AO230" s="170"/>
      <c r="AP230" s="170"/>
      <c r="AQ230" s="170"/>
      <c r="AR230" s="170"/>
      <c r="AS230" s="170"/>
      <c r="AT230" s="170"/>
      <c r="AU230" s="170"/>
      <c r="AV230" s="170"/>
      <c r="AW230" s="170"/>
      <c r="AX230" s="170"/>
      <c r="AY230" s="170"/>
    </row>
    <row r="231" spans="1:51" s="171" customFormat="1" ht="15">
      <c r="A231" s="170"/>
      <c r="B231" s="129"/>
      <c r="C231" s="176"/>
      <c r="D231" s="172"/>
      <c r="E231" s="172">
        <v>2</v>
      </c>
      <c r="F231" s="101">
        <v>0.9</v>
      </c>
      <c r="G231" s="101">
        <v>7.6</v>
      </c>
      <c r="H231" s="101"/>
      <c r="I231" s="176"/>
      <c r="J231" s="166">
        <f t="shared" si="25"/>
        <v>13.68</v>
      </c>
      <c r="K231" s="223"/>
      <c r="L231" s="170"/>
      <c r="M231" s="170"/>
      <c r="N231" s="170"/>
      <c r="O231" s="170"/>
      <c r="P231" s="170"/>
      <c r="Q231" s="170"/>
      <c r="R231" s="170"/>
      <c r="S231" s="170"/>
      <c r="T231" s="170"/>
      <c r="U231" s="170"/>
      <c r="V231" s="170"/>
      <c r="W231" s="170"/>
      <c r="X231" s="170"/>
      <c r="Y231" s="170"/>
      <c r="Z231" s="170"/>
      <c r="AA231" s="170"/>
      <c r="AB231" s="170"/>
      <c r="AC231" s="170"/>
      <c r="AD231" s="170"/>
      <c r="AE231" s="170"/>
      <c r="AF231" s="170"/>
      <c r="AG231" s="170"/>
      <c r="AH231" s="170"/>
      <c r="AI231" s="170"/>
      <c r="AJ231" s="170"/>
      <c r="AK231" s="170"/>
      <c r="AL231" s="170"/>
      <c r="AM231" s="170"/>
      <c r="AN231" s="170"/>
      <c r="AO231" s="170"/>
      <c r="AP231" s="170"/>
      <c r="AQ231" s="170"/>
      <c r="AR231" s="170"/>
      <c r="AS231" s="170"/>
      <c r="AT231" s="170"/>
      <c r="AU231" s="170"/>
      <c r="AV231" s="170"/>
      <c r="AW231" s="170"/>
      <c r="AX231" s="170"/>
      <c r="AY231" s="170"/>
    </row>
    <row r="232" spans="1:51" s="171" customFormat="1" ht="15">
      <c r="A232" s="170"/>
      <c r="B232" s="129"/>
      <c r="C232" s="176"/>
      <c r="D232" s="172"/>
      <c r="E232" s="172">
        <v>2</v>
      </c>
      <c r="F232" s="101">
        <v>0.5</v>
      </c>
      <c r="G232" s="101">
        <v>7.6</v>
      </c>
      <c r="H232" s="101"/>
      <c r="I232" s="176"/>
      <c r="J232" s="166">
        <f t="shared" si="25"/>
        <v>7.6</v>
      </c>
      <c r="K232" s="223"/>
      <c r="L232" s="170"/>
      <c r="M232" s="170"/>
      <c r="N232" s="170"/>
      <c r="O232" s="170"/>
      <c r="P232" s="170"/>
      <c r="Q232" s="170"/>
      <c r="R232" s="170"/>
      <c r="S232" s="170"/>
      <c r="T232" s="170"/>
      <c r="U232" s="170"/>
      <c r="V232" s="170"/>
      <c r="W232" s="170"/>
      <c r="X232" s="170"/>
      <c r="Y232" s="170"/>
      <c r="Z232" s="170"/>
      <c r="AA232" s="170"/>
      <c r="AB232" s="170"/>
      <c r="AC232" s="170"/>
      <c r="AD232" s="170"/>
      <c r="AE232" s="170"/>
      <c r="AF232" s="170"/>
      <c r="AG232" s="170"/>
      <c r="AH232" s="170"/>
      <c r="AI232" s="170"/>
      <c r="AJ232" s="170"/>
      <c r="AK232" s="170"/>
      <c r="AL232" s="170"/>
      <c r="AM232" s="170"/>
      <c r="AN232" s="170"/>
      <c r="AO232" s="170"/>
      <c r="AP232" s="170"/>
      <c r="AQ232" s="170"/>
      <c r="AR232" s="170"/>
      <c r="AS232" s="170"/>
      <c r="AT232" s="170"/>
      <c r="AU232" s="170"/>
      <c r="AV232" s="170"/>
      <c r="AW232" s="170"/>
      <c r="AX232" s="170"/>
      <c r="AY232" s="170"/>
    </row>
    <row r="233" spans="1:51" s="171" customFormat="1" ht="15">
      <c r="A233" s="170"/>
      <c r="B233" s="129"/>
      <c r="C233" s="176"/>
      <c r="D233" s="172"/>
      <c r="E233" s="172">
        <v>2</v>
      </c>
      <c r="F233" s="101">
        <v>0.5</v>
      </c>
      <c r="G233" s="101">
        <v>8.5</v>
      </c>
      <c r="H233" s="101"/>
      <c r="I233" s="176"/>
      <c r="J233" s="166">
        <f t="shared" si="25"/>
        <v>8.5</v>
      </c>
      <c r="K233" s="223"/>
      <c r="L233" s="170"/>
      <c r="M233" s="170"/>
      <c r="N233" s="170"/>
      <c r="O233" s="170"/>
      <c r="P233" s="170"/>
      <c r="Q233" s="170"/>
      <c r="R233" s="170"/>
      <c r="S233" s="170"/>
      <c r="T233" s="170"/>
      <c r="U233" s="170"/>
      <c r="V233" s="170"/>
      <c r="W233" s="170"/>
      <c r="X233" s="170"/>
      <c r="Y233" s="170"/>
      <c r="Z233" s="170"/>
      <c r="AA233" s="170"/>
      <c r="AB233" s="170"/>
      <c r="AC233" s="170"/>
      <c r="AD233" s="170"/>
      <c r="AE233" s="170"/>
      <c r="AF233" s="170"/>
      <c r="AG233" s="170"/>
      <c r="AH233" s="170"/>
      <c r="AI233" s="170"/>
      <c r="AJ233" s="170"/>
      <c r="AK233" s="170"/>
      <c r="AL233" s="170"/>
      <c r="AM233" s="170"/>
      <c r="AN233" s="170"/>
      <c r="AO233" s="170"/>
      <c r="AP233" s="170"/>
      <c r="AQ233" s="170"/>
      <c r="AR233" s="170"/>
      <c r="AS233" s="170"/>
      <c r="AT233" s="170"/>
      <c r="AU233" s="170"/>
      <c r="AV233" s="170"/>
      <c r="AW233" s="170"/>
      <c r="AX233" s="170"/>
      <c r="AY233" s="170"/>
    </row>
    <row r="234" spans="1:51" s="171" customFormat="1" ht="15">
      <c r="A234" s="170"/>
      <c r="B234" s="129"/>
      <c r="C234" s="176"/>
      <c r="D234" s="172"/>
      <c r="E234" s="172"/>
      <c r="F234" s="101"/>
      <c r="G234" s="101"/>
      <c r="H234" s="101"/>
      <c r="I234" s="176"/>
      <c r="J234" s="166"/>
      <c r="K234" s="223"/>
      <c r="L234" s="170"/>
      <c r="M234" s="170"/>
      <c r="N234" s="170"/>
      <c r="O234" s="170"/>
      <c r="P234" s="170"/>
      <c r="Q234" s="170"/>
      <c r="R234" s="170"/>
      <c r="S234" s="170"/>
      <c r="T234" s="170"/>
      <c r="U234" s="170"/>
      <c r="V234" s="170"/>
      <c r="W234" s="170"/>
      <c r="X234" s="170"/>
      <c r="Y234" s="170"/>
      <c r="Z234" s="170"/>
      <c r="AA234" s="170"/>
      <c r="AB234" s="170"/>
      <c r="AC234" s="170"/>
      <c r="AD234" s="170"/>
      <c r="AE234" s="170"/>
      <c r="AF234" s="170"/>
      <c r="AG234" s="170"/>
      <c r="AH234" s="170"/>
      <c r="AI234" s="170"/>
      <c r="AJ234" s="170"/>
      <c r="AK234" s="170"/>
      <c r="AL234" s="170"/>
      <c r="AM234" s="170"/>
      <c r="AN234" s="170"/>
      <c r="AO234" s="170"/>
      <c r="AP234" s="170"/>
      <c r="AQ234" s="170"/>
      <c r="AR234" s="170"/>
      <c r="AS234" s="170"/>
      <c r="AT234" s="170"/>
      <c r="AU234" s="170"/>
      <c r="AV234" s="170"/>
      <c r="AW234" s="170"/>
      <c r="AX234" s="170"/>
      <c r="AY234" s="170"/>
    </row>
    <row r="235" spans="1:51" ht="25.5">
      <c r="A235" s="170"/>
      <c r="B235" s="129" t="s">
        <v>666</v>
      </c>
      <c r="C235" s="278" t="s">
        <v>982</v>
      </c>
      <c r="D235" s="172" t="s">
        <v>543</v>
      </c>
      <c r="E235" s="172"/>
      <c r="F235" s="101"/>
      <c r="G235" s="101"/>
      <c r="H235" s="101"/>
      <c r="I235" s="176"/>
      <c r="J235" s="167">
        <f>SUM(J236:J256)</f>
        <v>353.19939999999997</v>
      </c>
      <c r="K235" s="223"/>
      <c r="L235" s="170"/>
      <c r="M235" s="170"/>
      <c r="N235" s="170"/>
      <c r="O235" s="170"/>
      <c r="P235" s="170"/>
      <c r="Q235" s="170"/>
      <c r="R235" s="170"/>
      <c r="S235" s="170"/>
      <c r="T235" s="170"/>
      <c r="U235" s="170"/>
      <c r="V235" s="170"/>
      <c r="W235" s="170"/>
      <c r="X235" s="170"/>
      <c r="Y235" s="170"/>
      <c r="Z235" s="170"/>
      <c r="AA235" s="170"/>
      <c r="AB235" s="170"/>
      <c r="AC235" s="170"/>
      <c r="AD235" s="170"/>
      <c r="AE235" s="170"/>
      <c r="AF235" s="170"/>
      <c r="AG235" s="170"/>
      <c r="AH235" s="170"/>
      <c r="AI235" s="170"/>
      <c r="AJ235" s="170"/>
      <c r="AK235" s="170"/>
      <c r="AL235" s="170"/>
      <c r="AM235" s="170"/>
      <c r="AN235" s="170"/>
      <c r="AO235" s="170"/>
      <c r="AP235" s="170"/>
      <c r="AQ235" s="170"/>
      <c r="AR235" s="170"/>
      <c r="AS235" s="170"/>
      <c r="AT235" s="170"/>
      <c r="AU235" s="170"/>
      <c r="AV235" s="170"/>
      <c r="AW235" s="170"/>
      <c r="AX235" s="170"/>
      <c r="AY235" s="170"/>
    </row>
    <row r="236" spans="1:51" s="171" customFormat="1" ht="15">
      <c r="A236" s="170"/>
      <c r="B236" s="129"/>
      <c r="C236" s="179" t="s">
        <v>667</v>
      </c>
      <c r="D236" s="172" t="s">
        <v>543</v>
      </c>
      <c r="E236" s="172">
        <v>1</v>
      </c>
      <c r="F236" s="101">
        <v>3.77</v>
      </c>
      <c r="G236" s="101">
        <v>3.25</v>
      </c>
      <c r="H236" s="101"/>
      <c r="I236" s="176"/>
      <c r="J236" s="167">
        <f>F236*G236*E236</f>
        <v>12.2525</v>
      </c>
      <c r="K236" s="223"/>
      <c r="L236" s="170"/>
      <c r="M236" s="170"/>
      <c r="N236" s="170"/>
      <c r="O236" s="170"/>
      <c r="P236" s="170"/>
      <c r="Q236" s="170"/>
      <c r="R236" s="170"/>
      <c r="S236" s="170"/>
      <c r="T236" s="170"/>
      <c r="U236" s="170"/>
      <c r="V236" s="170"/>
      <c r="W236" s="170"/>
      <c r="X236" s="170"/>
      <c r="Y236" s="170"/>
      <c r="Z236" s="170"/>
      <c r="AA236" s="170"/>
      <c r="AB236" s="170"/>
      <c r="AC236" s="170"/>
      <c r="AD236" s="170"/>
      <c r="AE236" s="170"/>
      <c r="AF236" s="170"/>
      <c r="AG236" s="170"/>
      <c r="AH236" s="170"/>
      <c r="AI236" s="170"/>
      <c r="AJ236" s="170"/>
      <c r="AK236" s="170"/>
      <c r="AL236" s="170"/>
      <c r="AM236" s="170"/>
      <c r="AN236" s="170"/>
      <c r="AO236" s="170"/>
      <c r="AP236" s="170"/>
      <c r="AQ236" s="170"/>
      <c r="AR236" s="170"/>
      <c r="AS236" s="170"/>
      <c r="AT236" s="170"/>
      <c r="AU236" s="170"/>
      <c r="AV236" s="170"/>
      <c r="AW236" s="170"/>
      <c r="AX236" s="170"/>
      <c r="AY236" s="170"/>
    </row>
    <row r="237" spans="1:51" s="171" customFormat="1" ht="15">
      <c r="A237" s="170"/>
      <c r="B237" s="129"/>
      <c r="C237" s="179" t="s">
        <v>668</v>
      </c>
      <c r="D237" s="172" t="s">
        <v>543</v>
      </c>
      <c r="E237" s="172">
        <v>1</v>
      </c>
      <c r="F237" s="101">
        <v>3.44</v>
      </c>
      <c r="G237" s="101">
        <v>3.25</v>
      </c>
      <c r="H237" s="101"/>
      <c r="I237" s="176"/>
      <c r="J237" s="167">
        <f t="shared" ref="J237:J256" si="26">F237*G237*E237</f>
        <v>11.18</v>
      </c>
      <c r="K237" s="223"/>
      <c r="L237" s="170"/>
      <c r="M237" s="170"/>
      <c r="N237" s="170"/>
      <c r="O237" s="170"/>
      <c r="P237" s="170"/>
      <c r="Q237" s="170"/>
      <c r="R237" s="170"/>
      <c r="S237" s="170"/>
      <c r="T237" s="170"/>
      <c r="U237" s="170"/>
      <c r="V237" s="170"/>
      <c r="W237" s="170"/>
      <c r="X237" s="170"/>
      <c r="Y237" s="170"/>
      <c r="Z237" s="170"/>
      <c r="AA237" s="170"/>
      <c r="AB237" s="170"/>
      <c r="AC237" s="170"/>
      <c r="AD237" s="170"/>
      <c r="AE237" s="170"/>
      <c r="AF237" s="170"/>
      <c r="AG237" s="170"/>
      <c r="AH237" s="170"/>
      <c r="AI237" s="170"/>
      <c r="AJ237" s="170"/>
      <c r="AK237" s="170"/>
      <c r="AL237" s="170"/>
      <c r="AM237" s="170"/>
      <c r="AN237" s="170"/>
      <c r="AO237" s="170"/>
      <c r="AP237" s="170"/>
      <c r="AQ237" s="170"/>
      <c r="AR237" s="170"/>
      <c r="AS237" s="170"/>
      <c r="AT237" s="170"/>
      <c r="AU237" s="170"/>
      <c r="AV237" s="170"/>
      <c r="AW237" s="170"/>
      <c r="AX237" s="170"/>
      <c r="AY237" s="170"/>
    </row>
    <row r="238" spans="1:51" s="171" customFormat="1" ht="15">
      <c r="A238" s="170"/>
      <c r="B238" s="129"/>
      <c r="C238" s="179" t="s">
        <v>669</v>
      </c>
      <c r="D238" s="172" t="s">
        <v>543</v>
      </c>
      <c r="E238" s="172">
        <v>1</v>
      </c>
      <c r="F238" s="101">
        <v>4.22</v>
      </c>
      <c r="G238" s="101">
        <v>3.25</v>
      </c>
      <c r="H238" s="101"/>
      <c r="I238" s="176"/>
      <c r="J238" s="167">
        <f t="shared" si="26"/>
        <v>13.715</v>
      </c>
      <c r="K238" s="223"/>
      <c r="L238" s="170"/>
      <c r="M238" s="170"/>
      <c r="N238" s="170"/>
      <c r="O238" s="170"/>
      <c r="P238" s="170"/>
      <c r="Q238" s="170"/>
      <c r="R238" s="170"/>
      <c r="S238" s="170"/>
      <c r="T238" s="170"/>
      <c r="U238" s="170"/>
      <c r="V238" s="170"/>
      <c r="W238" s="170"/>
      <c r="X238" s="170"/>
      <c r="Y238" s="170"/>
      <c r="Z238" s="170"/>
      <c r="AA238" s="170"/>
      <c r="AB238" s="170"/>
      <c r="AC238" s="170"/>
      <c r="AD238" s="170"/>
      <c r="AE238" s="170"/>
      <c r="AF238" s="170"/>
      <c r="AG238" s="170"/>
      <c r="AH238" s="170"/>
      <c r="AI238" s="170"/>
      <c r="AJ238" s="170"/>
      <c r="AK238" s="170"/>
      <c r="AL238" s="170"/>
      <c r="AM238" s="170"/>
      <c r="AN238" s="170"/>
      <c r="AO238" s="170"/>
      <c r="AP238" s="170"/>
      <c r="AQ238" s="170"/>
      <c r="AR238" s="170"/>
      <c r="AS238" s="170"/>
      <c r="AT238" s="170"/>
      <c r="AU238" s="170"/>
      <c r="AV238" s="170"/>
      <c r="AW238" s="170"/>
      <c r="AX238" s="170"/>
      <c r="AY238" s="170"/>
    </row>
    <row r="239" spans="1:51" s="171" customFormat="1" ht="15">
      <c r="A239" s="170"/>
      <c r="B239" s="129"/>
      <c r="C239" s="179" t="s">
        <v>670</v>
      </c>
      <c r="D239" s="172" t="s">
        <v>543</v>
      </c>
      <c r="E239" s="172">
        <v>1</v>
      </c>
      <c r="F239" s="101">
        <v>5.08</v>
      </c>
      <c r="G239" s="101">
        <v>3.25</v>
      </c>
      <c r="H239" s="101"/>
      <c r="I239" s="176"/>
      <c r="J239" s="167">
        <f t="shared" si="26"/>
        <v>16.510000000000002</v>
      </c>
      <c r="K239" s="223"/>
      <c r="L239" s="170"/>
      <c r="M239" s="170"/>
      <c r="N239" s="170"/>
      <c r="O239" s="170"/>
      <c r="P239" s="170"/>
      <c r="Q239" s="170"/>
      <c r="R239" s="170"/>
      <c r="S239" s="170"/>
      <c r="T239" s="170"/>
      <c r="U239" s="170"/>
      <c r="V239" s="170"/>
      <c r="W239" s="170"/>
      <c r="X239" s="170"/>
      <c r="Y239" s="170"/>
      <c r="Z239" s="170"/>
      <c r="AA239" s="170"/>
      <c r="AB239" s="170"/>
      <c r="AC239" s="170"/>
      <c r="AD239" s="170"/>
      <c r="AE239" s="170"/>
      <c r="AF239" s="170"/>
      <c r="AG239" s="170"/>
      <c r="AH239" s="170"/>
      <c r="AI239" s="170"/>
      <c r="AJ239" s="170"/>
      <c r="AK239" s="170"/>
      <c r="AL239" s="170"/>
      <c r="AM239" s="170"/>
      <c r="AN239" s="170"/>
      <c r="AO239" s="170"/>
      <c r="AP239" s="170"/>
      <c r="AQ239" s="170"/>
      <c r="AR239" s="170"/>
      <c r="AS239" s="170"/>
      <c r="AT239" s="170"/>
      <c r="AU239" s="170"/>
      <c r="AV239" s="170"/>
      <c r="AW239" s="170"/>
      <c r="AX239" s="170"/>
      <c r="AY239" s="170"/>
    </row>
    <row r="240" spans="1:51" s="171" customFormat="1" ht="15">
      <c r="A240" s="170"/>
      <c r="B240" s="129"/>
      <c r="C240" s="179" t="s">
        <v>671</v>
      </c>
      <c r="D240" s="172" t="s">
        <v>543</v>
      </c>
      <c r="E240" s="172">
        <v>1</v>
      </c>
      <c r="F240" s="101">
        <v>5.07</v>
      </c>
      <c r="G240" s="101">
        <v>2.5299999999999998</v>
      </c>
      <c r="H240" s="101"/>
      <c r="I240" s="176"/>
      <c r="J240" s="167">
        <f t="shared" si="26"/>
        <v>12.8271</v>
      </c>
      <c r="K240" s="223"/>
      <c r="L240" s="170"/>
      <c r="M240" s="170"/>
      <c r="N240" s="170"/>
      <c r="O240" s="170"/>
      <c r="P240" s="170"/>
      <c r="Q240" s="170"/>
      <c r="R240" s="170"/>
      <c r="S240" s="170"/>
      <c r="T240" s="170"/>
      <c r="U240" s="170"/>
      <c r="V240" s="170"/>
      <c r="W240" s="170"/>
      <c r="X240" s="170"/>
      <c r="Y240" s="170"/>
      <c r="Z240" s="170"/>
      <c r="AA240" s="170"/>
      <c r="AB240" s="170"/>
      <c r="AC240" s="170"/>
      <c r="AD240" s="170"/>
      <c r="AE240" s="170"/>
      <c r="AF240" s="170"/>
      <c r="AG240" s="170"/>
      <c r="AH240" s="170"/>
      <c r="AI240" s="170"/>
      <c r="AJ240" s="170"/>
      <c r="AK240" s="170"/>
      <c r="AL240" s="170"/>
      <c r="AM240" s="170"/>
      <c r="AN240" s="170"/>
      <c r="AO240" s="170"/>
      <c r="AP240" s="170"/>
      <c r="AQ240" s="170"/>
      <c r="AR240" s="170"/>
      <c r="AS240" s="170"/>
      <c r="AT240" s="170"/>
      <c r="AU240" s="170"/>
      <c r="AV240" s="170"/>
      <c r="AW240" s="170"/>
      <c r="AX240" s="170"/>
      <c r="AY240" s="170"/>
    </row>
    <row r="241" spans="1:51" s="171" customFormat="1" ht="15">
      <c r="A241" s="170"/>
      <c r="B241" s="129"/>
      <c r="C241" s="179" t="s">
        <v>672</v>
      </c>
      <c r="D241" s="172" t="s">
        <v>543</v>
      </c>
      <c r="E241" s="172">
        <v>1</v>
      </c>
      <c r="F241" s="101">
        <v>5.07</v>
      </c>
      <c r="G241" s="101">
        <v>3.13</v>
      </c>
      <c r="H241" s="101"/>
      <c r="I241" s="176"/>
      <c r="J241" s="167">
        <f t="shared" si="26"/>
        <v>15.8691</v>
      </c>
      <c r="K241" s="223"/>
      <c r="L241" s="170"/>
      <c r="M241" s="170"/>
      <c r="N241" s="170"/>
      <c r="O241" s="170"/>
      <c r="P241" s="170"/>
      <c r="Q241" s="170"/>
      <c r="R241" s="170"/>
      <c r="S241" s="170"/>
      <c r="T241" s="170"/>
      <c r="U241" s="170"/>
      <c r="V241" s="170"/>
      <c r="W241" s="170"/>
      <c r="X241" s="170"/>
      <c r="Y241" s="170"/>
      <c r="Z241" s="170"/>
      <c r="AA241" s="170"/>
      <c r="AB241" s="170"/>
      <c r="AC241" s="170"/>
      <c r="AD241" s="170"/>
      <c r="AE241" s="170"/>
      <c r="AF241" s="170"/>
      <c r="AG241" s="170"/>
      <c r="AH241" s="170"/>
      <c r="AI241" s="170"/>
      <c r="AJ241" s="170"/>
      <c r="AK241" s="170"/>
      <c r="AL241" s="170"/>
      <c r="AM241" s="170"/>
      <c r="AN241" s="170"/>
      <c r="AO241" s="170"/>
      <c r="AP241" s="170"/>
      <c r="AQ241" s="170"/>
      <c r="AR241" s="170"/>
      <c r="AS241" s="170"/>
      <c r="AT241" s="170"/>
      <c r="AU241" s="170"/>
      <c r="AV241" s="170"/>
      <c r="AW241" s="170"/>
      <c r="AX241" s="170"/>
      <c r="AY241" s="170"/>
    </row>
    <row r="242" spans="1:51" s="171" customFormat="1" ht="15">
      <c r="A242" s="170"/>
      <c r="B242" s="129"/>
      <c r="C242" s="179" t="s">
        <v>673</v>
      </c>
      <c r="D242" s="172" t="s">
        <v>543</v>
      </c>
      <c r="E242" s="172">
        <v>1</v>
      </c>
      <c r="F242" s="101">
        <v>2.69</v>
      </c>
      <c r="G242" s="101">
        <v>2.0299999999999998</v>
      </c>
      <c r="H242" s="101"/>
      <c r="I242" s="176"/>
      <c r="J242" s="167">
        <f t="shared" si="26"/>
        <v>5.4606999999999992</v>
      </c>
      <c r="K242" s="223"/>
      <c r="L242" s="170"/>
      <c r="M242" s="170"/>
      <c r="N242" s="170"/>
      <c r="O242" s="170"/>
      <c r="P242" s="170"/>
      <c r="Q242" s="170"/>
      <c r="R242" s="170"/>
      <c r="S242" s="170"/>
      <c r="T242" s="170"/>
      <c r="U242" s="170"/>
      <c r="V242" s="170"/>
      <c r="W242" s="170"/>
      <c r="X242" s="170"/>
      <c r="Y242" s="170"/>
      <c r="Z242" s="170"/>
      <c r="AA242" s="170"/>
      <c r="AB242" s="170"/>
      <c r="AC242" s="170"/>
      <c r="AD242" s="170"/>
      <c r="AE242" s="170"/>
      <c r="AF242" s="170"/>
      <c r="AG242" s="170"/>
      <c r="AH242" s="170"/>
      <c r="AI242" s="170"/>
      <c r="AJ242" s="170"/>
      <c r="AK242" s="170"/>
      <c r="AL242" s="170"/>
      <c r="AM242" s="170"/>
      <c r="AN242" s="170"/>
      <c r="AO242" s="170"/>
      <c r="AP242" s="170"/>
      <c r="AQ242" s="170"/>
      <c r="AR242" s="170"/>
      <c r="AS242" s="170"/>
      <c r="AT242" s="170"/>
      <c r="AU242" s="170"/>
      <c r="AV242" s="170"/>
      <c r="AW242" s="170"/>
      <c r="AX242" s="170"/>
      <c r="AY242" s="170"/>
    </row>
    <row r="243" spans="1:51" s="171" customFormat="1" ht="15">
      <c r="A243" s="170"/>
      <c r="B243" s="129"/>
      <c r="C243" s="179" t="s">
        <v>673</v>
      </c>
      <c r="D243" s="172" t="s">
        <v>543</v>
      </c>
      <c r="E243" s="172">
        <v>1</v>
      </c>
      <c r="F243" s="101">
        <v>2.69</v>
      </c>
      <c r="G243" s="101">
        <v>2.02</v>
      </c>
      <c r="H243" s="101"/>
      <c r="I243" s="176"/>
      <c r="J243" s="167">
        <f t="shared" si="26"/>
        <v>5.4337999999999997</v>
      </c>
      <c r="K243" s="223"/>
      <c r="L243" s="170"/>
      <c r="M243" s="170"/>
      <c r="N243" s="170"/>
      <c r="O243" s="170"/>
      <c r="P243" s="170"/>
      <c r="Q243" s="170"/>
      <c r="R243" s="170"/>
      <c r="S243" s="170"/>
      <c r="T243" s="170"/>
      <c r="U243" s="170"/>
      <c r="V243" s="170"/>
      <c r="W243" s="170"/>
      <c r="X243" s="170"/>
      <c r="Y243" s="170"/>
      <c r="Z243" s="170"/>
      <c r="AA243" s="170"/>
      <c r="AB243" s="170"/>
      <c r="AC243" s="170"/>
      <c r="AD243" s="170"/>
      <c r="AE243" s="170"/>
      <c r="AF243" s="170"/>
      <c r="AG243" s="170"/>
      <c r="AH243" s="170"/>
      <c r="AI243" s="170"/>
      <c r="AJ243" s="170"/>
      <c r="AK243" s="170"/>
      <c r="AL243" s="170"/>
      <c r="AM243" s="170"/>
      <c r="AN243" s="170"/>
      <c r="AO243" s="170"/>
      <c r="AP243" s="170"/>
      <c r="AQ243" s="170"/>
      <c r="AR243" s="170"/>
      <c r="AS243" s="170"/>
      <c r="AT243" s="170"/>
      <c r="AU243" s="170"/>
      <c r="AV243" s="170"/>
      <c r="AW243" s="170"/>
      <c r="AX243" s="170"/>
      <c r="AY243" s="170"/>
    </row>
    <row r="244" spans="1:51" s="171" customFormat="1" ht="15">
      <c r="A244" s="170"/>
      <c r="B244" s="129"/>
      <c r="C244" s="179" t="s">
        <v>674</v>
      </c>
      <c r="D244" s="172" t="s">
        <v>543</v>
      </c>
      <c r="E244" s="172">
        <v>1</v>
      </c>
      <c r="F244" s="101">
        <v>10</v>
      </c>
      <c r="G244" s="101">
        <v>6.76</v>
      </c>
      <c r="H244" s="101"/>
      <c r="I244" s="176"/>
      <c r="J244" s="167">
        <f t="shared" si="26"/>
        <v>67.599999999999994</v>
      </c>
      <c r="K244" s="223"/>
      <c r="L244" s="170"/>
      <c r="M244" s="170"/>
      <c r="N244" s="170"/>
      <c r="O244" s="170"/>
      <c r="P244" s="170"/>
      <c r="Q244" s="170"/>
      <c r="R244" s="170"/>
      <c r="S244" s="170"/>
      <c r="T244" s="170"/>
      <c r="U244" s="170"/>
      <c r="V244" s="170"/>
      <c r="W244" s="170"/>
      <c r="X244" s="170"/>
      <c r="Y244" s="170"/>
      <c r="Z244" s="170"/>
      <c r="AA244" s="170"/>
      <c r="AB244" s="170"/>
      <c r="AC244" s="170"/>
      <c r="AD244" s="170"/>
      <c r="AE244" s="170"/>
      <c r="AF244" s="170"/>
      <c r="AG244" s="170"/>
      <c r="AH244" s="170"/>
      <c r="AI244" s="170"/>
      <c r="AJ244" s="170"/>
      <c r="AK244" s="170"/>
      <c r="AL244" s="170"/>
      <c r="AM244" s="170"/>
      <c r="AN244" s="170"/>
      <c r="AO244" s="170"/>
      <c r="AP244" s="170"/>
      <c r="AQ244" s="170"/>
      <c r="AR244" s="170"/>
      <c r="AS244" s="170"/>
      <c r="AT244" s="170"/>
      <c r="AU244" s="170"/>
      <c r="AV244" s="170"/>
      <c r="AW244" s="170"/>
      <c r="AX244" s="170"/>
      <c r="AY244" s="170"/>
    </row>
    <row r="245" spans="1:51" s="171" customFormat="1" ht="15">
      <c r="A245" s="170"/>
      <c r="B245" s="129"/>
      <c r="C245" s="179" t="s">
        <v>675</v>
      </c>
      <c r="D245" s="172" t="s">
        <v>543</v>
      </c>
      <c r="E245" s="172">
        <v>1</v>
      </c>
      <c r="F245" s="101">
        <v>3.3</v>
      </c>
      <c r="G245" s="101">
        <v>3.9</v>
      </c>
      <c r="H245" s="101"/>
      <c r="I245" s="176"/>
      <c r="J245" s="167">
        <f t="shared" si="26"/>
        <v>12.87</v>
      </c>
      <c r="K245" s="223"/>
      <c r="L245" s="170"/>
      <c r="M245" s="170"/>
      <c r="N245" s="170"/>
      <c r="O245" s="170"/>
      <c r="P245" s="170"/>
      <c r="Q245" s="170"/>
      <c r="R245" s="170"/>
      <c r="S245" s="170"/>
      <c r="T245" s="170"/>
      <c r="U245" s="170"/>
      <c r="V245" s="170"/>
      <c r="W245" s="170"/>
      <c r="X245" s="170"/>
      <c r="Y245" s="170"/>
      <c r="Z245" s="170"/>
      <c r="AA245" s="170"/>
      <c r="AB245" s="170"/>
      <c r="AC245" s="170"/>
      <c r="AD245" s="170"/>
      <c r="AE245" s="170"/>
      <c r="AF245" s="170"/>
      <c r="AG245" s="170"/>
      <c r="AH245" s="170"/>
      <c r="AI245" s="170"/>
      <c r="AJ245" s="170"/>
      <c r="AK245" s="170"/>
      <c r="AL245" s="170"/>
      <c r="AM245" s="170"/>
      <c r="AN245" s="170"/>
      <c r="AO245" s="170"/>
      <c r="AP245" s="170"/>
      <c r="AQ245" s="170"/>
      <c r="AR245" s="170"/>
      <c r="AS245" s="170"/>
      <c r="AT245" s="170"/>
      <c r="AU245" s="170"/>
      <c r="AV245" s="170"/>
      <c r="AW245" s="170"/>
      <c r="AX245" s="170"/>
      <c r="AY245" s="170"/>
    </row>
    <row r="246" spans="1:51" s="171" customFormat="1" ht="15">
      <c r="A246" s="170"/>
      <c r="B246" s="129"/>
      <c r="C246" s="179" t="s">
        <v>675</v>
      </c>
      <c r="D246" s="172" t="s">
        <v>543</v>
      </c>
      <c r="E246" s="172">
        <v>1</v>
      </c>
      <c r="F246" s="101">
        <v>3.29</v>
      </c>
      <c r="G246" s="101">
        <v>3.9</v>
      </c>
      <c r="H246" s="101"/>
      <c r="I246" s="176"/>
      <c r="J246" s="167">
        <f t="shared" si="26"/>
        <v>12.831</v>
      </c>
      <c r="K246" s="223"/>
      <c r="L246" s="170"/>
      <c r="M246" s="170"/>
      <c r="N246" s="170"/>
      <c r="O246" s="170"/>
      <c r="P246" s="170"/>
      <c r="Q246" s="170"/>
      <c r="R246" s="170"/>
      <c r="S246" s="170"/>
      <c r="T246" s="170"/>
      <c r="U246" s="170"/>
      <c r="V246" s="170"/>
      <c r="W246" s="170"/>
      <c r="X246" s="170"/>
      <c r="Y246" s="170"/>
      <c r="Z246" s="170"/>
      <c r="AA246" s="170"/>
      <c r="AB246" s="170"/>
      <c r="AC246" s="170"/>
      <c r="AD246" s="170"/>
      <c r="AE246" s="170"/>
      <c r="AF246" s="170"/>
      <c r="AG246" s="170"/>
      <c r="AH246" s="170"/>
      <c r="AI246" s="170"/>
      <c r="AJ246" s="170"/>
      <c r="AK246" s="170"/>
      <c r="AL246" s="170"/>
      <c r="AM246" s="170"/>
      <c r="AN246" s="170"/>
      <c r="AO246" s="170"/>
      <c r="AP246" s="170"/>
      <c r="AQ246" s="170"/>
      <c r="AR246" s="170"/>
      <c r="AS246" s="170"/>
      <c r="AT246" s="170"/>
      <c r="AU246" s="170"/>
      <c r="AV246" s="170"/>
      <c r="AW246" s="170"/>
      <c r="AX246" s="170"/>
      <c r="AY246" s="170"/>
    </row>
    <row r="247" spans="1:51" s="171" customFormat="1" ht="15">
      <c r="A247" s="170"/>
      <c r="B247" s="129"/>
      <c r="C247" s="179" t="s">
        <v>675</v>
      </c>
      <c r="D247" s="172" t="s">
        <v>543</v>
      </c>
      <c r="E247" s="172">
        <v>1</v>
      </c>
      <c r="F247" s="101">
        <v>3.29</v>
      </c>
      <c r="G247" s="101">
        <v>3.9</v>
      </c>
      <c r="H247" s="101"/>
      <c r="I247" s="176"/>
      <c r="J247" s="167">
        <f t="shared" si="26"/>
        <v>12.831</v>
      </c>
      <c r="K247" s="223"/>
      <c r="L247" s="170"/>
      <c r="M247" s="170"/>
      <c r="N247" s="170"/>
      <c r="O247" s="170"/>
      <c r="P247" s="170"/>
      <c r="Q247" s="170"/>
      <c r="R247" s="170"/>
      <c r="S247" s="170"/>
      <c r="T247" s="170"/>
      <c r="U247" s="170"/>
      <c r="V247" s="170"/>
      <c r="W247" s="170"/>
      <c r="X247" s="170"/>
      <c r="Y247" s="170"/>
      <c r="Z247" s="170"/>
      <c r="AA247" s="170"/>
      <c r="AB247" s="170"/>
      <c r="AC247" s="170"/>
      <c r="AD247" s="170"/>
      <c r="AE247" s="170"/>
      <c r="AF247" s="170"/>
      <c r="AG247" s="170"/>
      <c r="AH247" s="170"/>
      <c r="AI247" s="170"/>
      <c r="AJ247" s="170"/>
      <c r="AK247" s="170"/>
      <c r="AL247" s="170"/>
      <c r="AM247" s="170"/>
      <c r="AN247" s="170"/>
      <c r="AO247" s="170"/>
      <c r="AP247" s="170"/>
      <c r="AQ247" s="170"/>
      <c r="AR247" s="170"/>
      <c r="AS247" s="170"/>
      <c r="AT247" s="170"/>
      <c r="AU247" s="170"/>
      <c r="AV247" s="170"/>
      <c r="AW247" s="170"/>
      <c r="AX247" s="170"/>
      <c r="AY247" s="170"/>
    </row>
    <row r="248" spans="1:51" s="171" customFormat="1" ht="15">
      <c r="A248" s="170"/>
      <c r="B248" s="129"/>
      <c r="C248" s="179" t="s">
        <v>675</v>
      </c>
      <c r="D248" s="172" t="s">
        <v>543</v>
      </c>
      <c r="E248" s="172">
        <v>1</v>
      </c>
      <c r="F248" s="101">
        <v>3.3</v>
      </c>
      <c r="G248" s="101">
        <v>3.9</v>
      </c>
      <c r="H248" s="101"/>
      <c r="I248" s="176"/>
      <c r="J248" s="167">
        <f t="shared" si="26"/>
        <v>12.87</v>
      </c>
      <c r="K248" s="223"/>
      <c r="L248" s="170"/>
      <c r="M248" s="170"/>
      <c r="N248" s="170"/>
      <c r="O248" s="170"/>
      <c r="P248" s="170"/>
      <c r="Q248" s="170"/>
      <c r="R248" s="170"/>
      <c r="S248" s="170"/>
      <c r="T248" s="170"/>
      <c r="U248" s="170"/>
      <c r="V248" s="170"/>
      <c r="W248" s="170"/>
      <c r="X248" s="170"/>
      <c r="Y248" s="170"/>
      <c r="Z248" s="170"/>
      <c r="AA248" s="170"/>
      <c r="AB248" s="170"/>
      <c r="AC248" s="170"/>
      <c r="AD248" s="170"/>
      <c r="AE248" s="170"/>
      <c r="AF248" s="170"/>
      <c r="AG248" s="170"/>
      <c r="AH248" s="170"/>
      <c r="AI248" s="170"/>
      <c r="AJ248" s="170"/>
      <c r="AK248" s="170"/>
      <c r="AL248" s="170"/>
      <c r="AM248" s="170"/>
      <c r="AN248" s="170"/>
      <c r="AO248" s="170"/>
      <c r="AP248" s="170"/>
      <c r="AQ248" s="170"/>
      <c r="AR248" s="170"/>
      <c r="AS248" s="170"/>
      <c r="AT248" s="170"/>
      <c r="AU248" s="170"/>
      <c r="AV248" s="170"/>
      <c r="AW248" s="170"/>
      <c r="AX248" s="170"/>
      <c r="AY248" s="170"/>
    </row>
    <row r="249" spans="1:51" s="171" customFormat="1" ht="15">
      <c r="A249" s="170"/>
      <c r="B249" s="129"/>
      <c r="C249" s="179" t="s">
        <v>675</v>
      </c>
      <c r="D249" s="172" t="s">
        <v>543</v>
      </c>
      <c r="E249" s="172">
        <v>1</v>
      </c>
      <c r="F249" s="101">
        <v>3.29</v>
      </c>
      <c r="G249" s="101">
        <v>3.9</v>
      </c>
      <c r="H249" s="101"/>
      <c r="I249" s="176"/>
      <c r="J249" s="167">
        <f t="shared" si="26"/>
        <v>12.831</v>
      </c>
      <c r="K249" s="223"/>
      <c r="L249" s="170"/>
      <c r="M249" s="170"/>
      <c r="N249" s="170"/>
      <c r="O249" s="170"/>
      <c r="P249" s="170"/>
      <c r="Q249" s="170"/>
      <c r="R249" s="170"/>
      <c r="S249" s="170"/>
      <c r="T249" s="170"/>
      <c r="U249" s="170"/>
      <c r="V249" s="170"/>
      <c r="W249" s="170"/>
      <c r="X249" s="170"/>
      <c r="Y249" s="170"/>
      <c r="Z249" s="170"/>
      <c r="AA249" s="170"/>
      <c r="AB249" s="170"/>
      <c r="AC249" s="170"/>
      <c r="AD249" s="170"/>
      <c r="AE249" s="170"/>
      <c r="AF249" s="170"/>
      <c r="AG249" s="170"/>
      <c r="AH249" s="170"/>
      <c r="AI249" s="170"/>
      <c r="AJ249" s="170"/>
      <c r="AK249" s="170"/>
      <c r="AL249" s="170"/>
      <c r="AM249" s="170"/>
      <c r="AN249" s="170"/>
      <c r="AO249" s="170"/>
      <c r="AP249" s="170"/>
      <c r="AQ249" s="170"/>
      <c r="AR249" s="170"/>
      <c r="AS249" s="170"/>
      <c r="AT249" s="170"/>
      <c r="AU249" s="170"/>
      <c r="AV249" s="170"/>
      <c r="AW249" s="170"/>
      <c r="AX249" s="170"/>
      <c r="AY249" s="170"/>
    </row>
    <row r="250" spans="1:51" s="171" customFormat="1" ht="15">
      <c r="A250" s="170"/>
      <c r="B250" s="129"/>
      <c r="C250" s="179" t="s">
        <v>675</v>
      </c>
      <c r="D250" s="172" t="s">
        <v>543</v>
      </c>
      <c r="E250" s="172">
        <v>1</v>
      </c>
      <c r="F250" s="101">
        <v>3.29</v>
      </c>
      <c r="G250" s="101">
        <v>3.9</v>
      </c>
      <c r="H250" s="101"/>
      <c r="I250" s="176"/>
      <c r="J250" s="167">
        <f t="shared" si="26"/>
        <v>12.831</v>
      </c>
      <c r="K250" s="223"/>
      <c r="L250" s="170"/>
      <c r="M250" s="170"/>
      <c r="N250" s="170"/>
      <c r="O250" s="170"/>
      <c r="P250" s="170"/>
      <c r="Q250" s="170"/>
      <c r="R250" s="170"/>
      <c r="S250" s="170"/>
      <c r="T250" s="170"/>
      <c r="U250" s="170"/>
      <c r="V250" s="170"/>
      <c r="W250" s="170"/>
      <c r="X250" s="170"/>
      <c r="Y250" s="170"/>
      <c r="Z250" s="170"/>
      <c r="AA250" s="170"/>
      <c r="AB250" s="170"/>
      <c r="AC250" s="170"/>
      <c r="AD250" s="170"/>
      <c r="AE250" s="170"/>
      <c r="AF250" s="170"/>
      <c r="AG250" s="170"/>
      <c r="AH250" s="170"/>
      <c r="AI250" s="170"/>
      <c r="AJ250" s="170"/>
      <c r="AK250" s="170"/>
      <c r="AL250" s="170"/>
      <c r="AM250" s="170"/>
      <c r="AN250" s="170"/>
      <c r="AO250" s="170"/>
      <c r="AP250" s="170"/>
      <c r="AQ250" s="170"/>
      <c r="AR250" s="170"/>
      <c r="AS250" s="170"/>
      <c r="AT250" s="170"/>
      <c r="AU250" s="170"/>
      <c r="AV250" s="170"/>
      <c r="AW250" s="170"/>
      <c r="AX250" s="170"/>
      <c r="AY250" s="170"/>
    </row>
    <row r="251" spans="1:51" s="171" customFormat="1" ht="15">
      <c r="A251" s="170"/>
      <c r="B251" s="129"/>
      <c r="C251" s="179" t="s">
        <v>676</v>
      </c>
      <c r="D251" s="172" t="s">
        <v>543</v>
      </c>
      <c r="E251" s="172">
        <v>1</v>
      </c>
      <c r="F251" s="101">
        <v>6.63</v>
      </c>
      <c r="G251" s="101">
        <v>6</v>
      </c>
      <c r="H251" s="101"/>
      <c r="I251" s="176"/>
      <c r="J251" s="167">
        <f t="shared" si="26"/>
        <v>39.78</v>
      </c>
      <c r="K251" s="223"/>
      <c r="L251" s="170"/>
      <c r="M251" s="170"/>
      <c r="N251" s="170"/>
      <c r="O251" s="170"/>
      <c r="P251" s="170"/>
      <c r="Q251" s="170"/>
      <c r="R251" s="170"/>
      <c r="S251" s="170"/>
      <c r="T251" s="170"/>
      <c r="U251" s="170"/>
      <c r="V251" s="170"/>
      <c r="W251" s="170"/>
      <c r="X251" s="170"/>
      <c r="Y251" s="170"/>
      <c r="Z251" s="170"/>
      <c r="AA251" s="170"/>
      <c r="AB251" s="170"/>
      <c r="AC251" s="170"/>
      <c r="AD251" s="170"/>
      <c r="AE251" s="170"/>
      <c r="AF251" s="170"/>
      <c r="AG251" s="170"/>
      <c r="AH251" s="170"/>
      <c r="AI251" s="170"/>
      <c r="AJ251" s="170"/>
      <c r="AK251" s="170"/>
      <c r="AL251" s="170"/>
      <c r="AM251" s="170"/>
      <c r="AN251" s="170"/>
      <c r="AO251" s="170"/>
      <c r="AP251" s="170"/>
      <c r="AQ251" s="170"/>
      <c r="AR251" s="170"/>
      <c r="AS251" s="170"/>
      <c r="AT251" s="170"/>
      <c r="AU251" s="170"/>
      <c r="AV251" s="170"/>
      <c r="AW251" s="170"/>
      <c r="AX251" s="170"/>
      <c r="AY251" s="170"/>
    </row>
    <row r="252" spans="1:51" s="171" customFormat="1" ht="15">
      <c r="A252" s="170"/>
      <c r="B252" s="129"/>
      <c r="C252" s="179" t="s">
        <v>677</v>
      </c>
      <c r="D252" s="172" t="s">
        <v>543</v>
      </c>
      <c r="E252" s="172">
        <v>1</v>
      </c>
      <c r="F252" s="101">
        <v>5.48</v>
      </c>
      <c r="G252" s="101">
        <v>3.82</v>
      </c>
      <c r="H252" s="101"/>
      <c r="I252" s="176"/>
      <c r="J252" s="167">
        <f t="shared" si="26"/>
        <v>20.933600000000002</v>
      </c>
      <c r="K252" s="223"/>
      <c r="L252" s="170"/>
      <c r="M252" s="170"/>
      <c r="N252" s="170"/>
      <c r="O252" s="170"/>
      <c r="P252" s="170"/>
      <c r="Q252" s="170"/>
      <c r="R252" s="170"/>
      <c r="S252" s="170"/>
      <c r="T252" s="170"/>
      <c r="U252" s="170"/>
      <c r="V252" s="170"/>
      <c r="W252" s="170"/>
      <c r="X252" s="170"/>
      <c r="Y252" s="170"/>
      <c r="Z252" s="170"/>
      <c r="AA252" s="170"/>
      <c r="AB252" s="170"/>
      <c r="AC252" s="170"/>
      <c r="AD252" s="170"/>
      <c r="AE252" s="170"/>
      <c r="AF252" s="170"/>
      <c r="AG252" s="170"/>
      <c r="AH252" s="170"/>
      <c r="AI252" s="170"/>
      <c r="AJ252" s="170"/>
      <c r="AK252" s="170"/>
      <c r="AL252" s="170"/>
      <c r="AM252" s="170"/>
      <c r="AN252" s="170"/>
      <c r="AO252" s="170"/>
      <c r="AP252" s="170"/>
      <c r="AQ252" s="170"/>
      <c r="AR252" s="170"/>
      <c r="AS252" s="170"/>
      <c r="AT252" s="170"/>
      <c r="AU252" s="170"/>
      <c r="AV252" s="170"/>
      <c r="AW252" s="170"/>
      <c r="AX252" s="170"/>
      <c r="AY252" s="170"/>
    </row>
    <row r="253" spans="1:51" s="171" customFormat="1" ht="15">
      <c r="A253" s="170"/>
      <c r="B253" s="129"/>
      <c r="C253" s="179" t="s">
        <v>678</v>
      </c>
      <c r="D253" s="172" t="s">
        <v>543</v>
      </c>
      <c r="E253" s="172">
        <v>1</v>
      </c>
      <c r="F253" s="101">
        <v>10.029999999999999</v>
      </c>
      <c r="G253" s="101">
        <v>1.2</v>
      </c>
      <c r="H253" s="101"/>
      <c r="I253" s="176"/>
      <c r="J253" s="167">
        <f t="shared" si="26"/>
        <v>12.036</v>
      </c>
      <c r="K253" s="223"/>
      <c r="L253" s="170"/>
      <c r="M253" s="170"/>
      <c r="N253" s="170"/>
      <c r="O253" s="170"/>
      <c r="P253" s="170"/>
      <c r="Q253" s="170"/>
      <c r="R253" s="170"/>
      <c r="S253" s="170"/>
      <c r="T253" s="170"/>
      <c r="U253" s="170"/>
      <c r="V253" s="170"/>
      <c r="W253" s="170"/>
      <c r="X253" s="170"/>
      <c r="Y253" s="170"/>
      <c r="Z253" s="170"/>
      <c r="AA253" s="170"/>
      <c r="AB253" s="170"/>
      <c r="AC253" s="170"/>
      <c r="AD253" s="170"/>
      <c r="AE253" s="170"/>
      <c r="AF253" s="170"/>
      <c r="AG253" s="170"/>
      <c r="AH253" s="170"/>
      <c r="AI253" s="170"/>
      <c r="AJ253" s="170"/>
      <c r="AK253" s="170"/>
      <c r="AL253" s="170"/>
      <c r="AM253" s="170"/>
      <c r="AN253" s="170"/>
      <c r="AO253" s="170"/>
      <c r="AP253" s="170"/>
      <c r="AQ253" s="170"/>
      <c r="AR253" s="170"/>
      <c r="AS253" s="170"/>
      <c r="AT253" s="170"/>
      <c r="AU253" s="170"/>
      <c r="AV253" s="170"/>
      <c r="AW253" s="170"/>
      <c r="AX253" s="170"/>
      <c r="AY253" s="170"/>
    </row>
    <row r="254" spans="1:51" s="171" customFormat="1" ht="15">
      <c r="A254" s="170"/>
      <c r="B254" s="129"/>
      <c r="C254" s="179" t="s">
        <v>678</v>
      </c>
      <c r="D254" s="172" t="s">
        <v>543</v>
      </c>
      <c r="E254" s="172">
        <v>1</v>
      </c>
      <c r="F254" s="101">
        <v>3.99</v>
      </c>
      <c r="G254" s="101">
        <v>4.1399999999999997</v>
      </c>
      <c r="H254" s="101"/>
      <c r="I254" s="176"/>
      <c r="J254" s="167">
        <f t="shared" si="26"/>
        <v>16.518599999999999</v>
      </c>
      <c r="K254" s="223"/>
      <c r="L254" s="170"/>
      <c r="M254" s="170"/>
      <c r="N254" s="170"/>
      <c r="O254" s="170"/>
      <c r="P254" s="170"/>
      <c r="Q254" s="170"/>
      <c r="R254" s="170"/>
      <c r="S254" s="170"/>
      <c r="T254" s="170"/>
      <c r="U254" s="170"/>
      <c r="V254" s="170"/>
      <c r="W254" s="170"/>
      <c r="X254" s="170"/>
      <c r="Y254" s="170"/>
      <c r="Z254" s="170"/>
      <c r="AA254" s="170"/>
      <c r="AB254" s="170"/>
      <c r="AC254" s="170"/>
      <c r="AD254" s="170"/>
      <c r="AE254" s="170"/>
      <c r="AF254" s="170"/>
      <c r="AG254" s="170"/>
      <c r="AH254" s="170"/>
      <c r="AI254" s="170"/>
      <c r="AJ254" s="170"/>
      <c r="AK254" s="170"/>
      <c r="AL254" s="170"/>
      <c r="AM254" s="170"/>
      <c r="AN254" s="170"/>
      <c r="AO254" s="170"/>
      <c r="AP254" s="170"/>
      <c r="AQ254" s="170"/>
      <c r="AR254" s="170"/>
      <c r="AS254" s="170"/>
      <c r="AT254" s="170"/>
      <c r="AU254" s="170"/>
      <c r="AV254" s="170"/>
      <c r="AW254" s="170"/>
      <c r="AX254" s="170"/>
      <c r="AY254" s="170"/>
    </row>
    <row r="255" spans="1:51" s="171" customFormat="1" ht="15">
      <c r="A255" s="170"/>
      <c r="B255" s="129"/>
      <c r="C255" s="179" t="s">
        <v>678</v>
      </c>
      <c r="D255" s="172" t="s">
        <v>543</v>
      </c>
      <c r="E255" s="172">
        <v>1</v>
      </c>
      <c r="F255" s="101">
        <v>1.5</v>
      </c>
      <c r="G255" s="101">
        <v>7.01</v>
      </c>
      <c r="H255" s="101"/>
      <c r="I255" s="176"/>
      <c r="J255" s="167">
        <f t="shared" si="26"/>
        <v>10.515000000000001</v>
      </c>
      <c r="K255" s="223"/>
      <c r="L255" s="170"/>
      <c r="M255" s="170"/>
      <c r="N255" s="170"/>
      <c r="O255" s="170"/>
      <c r="P255" s="170"/>
      <c r="Q255" s="170"/>
      <c r="R255" s="170"/>
      <c r="S255" s="170"/>
      <c r="T255" s="170"/>
      <c r="U255" s="170"/>
      <c r="V255" s="170"/>
      <c r="W255" s="170"/>
      <c r="X255" s="170"/>
      <c r="Y255" s="170"/>
      <c r="Z255" s="170"/>
      <c r="AA255" s="170"/>
      <c r="AB255" s="170"/>
      <c r="AC255" s="170"/>
      <c r="AD255" s="170"/>
      <c r="AE255" s="170"/>
      <c r="AF255" s="170"/>
      <c r="AG255" s="170"/>
      <c r="AH255" s="170"/>
      <c r="AI255" s="170"/>
      <c r="AJ255" s="170"/>
      <c r="AK255" s="170"/>
      <c r="AL255" s="170"/>
      <c r="AM255" s="170"/>
      <c r="AN255" s="170"/>
      <c r="AO255" s="170"/>
      <c r="AP255" s="170"/>
      <c r="AQ255" s="170"/>
      <c r="AR255" s="170"/>
      <c r="AS255" s="170"/>
      <c r="AT255" s="170"/>
      <c r="AU255" s="170"/>
      <c r="AV255" s="170"/>
      <c r="AW255" s="170"/>
      <c r="AX255" s="170"/>
      <c r="AY255" s="170"/>
    </row>
    <row r="256" spans="1:51" s="171" customFormat="1" ht="15">
      <c r="A256" s="170"/>
      <c r="B256" s="129"/>
      <c r="C256" s="179" t="s">
        <v>678</v>
      </c>
      <c r="D256" s="172" t="s">
        <v>543</v>
      </c>
      <c r="E256" s="172">
        <v>1</v>
      </c>
      <c r="F256" s="101">
        <v>12.92</v>
      </c>
      <c r="G256" s="101">
        <v>1.2</v>
      </c>
      <c r="H256" s="101"/>
      <c r="I256" s="176"/>
      <c r="J256" s="167">
        <f t="shared" si="26"/>
        <v>15.504</v>
      </c>
      <c r="K256" s="223"/>
      <c r="L256" s="170"/>
      <c r="M256" s="170"/>
      <c r="N256" s="170"/>
      <c r="O256" s="170"/>
      <c r="P256" s="170"/>
      <c r="Q256" s="170"/>
      <c r="R256" s="170"/>
      <c r="S256" s="170"/>
      <c r="T256" s="170"/>
      <c r="U256" s="170"/>
      <c r="V256" s="170"/>
      <c r="W256" s="170"/>
      <c r="X256" s="170"/>
      <c r="Y256" s="170"/>
      <c r="Z256" s="170"/>
      <c r="AA256" s="170"/>
      <c r="AB256" s="170"/>
      <c r="AC256" s="170"/>
      <c r="AD256" s="170"/>
      <c r="AE256" s="170"/>
      <c r="AF256" s="170"/>
      <c r="AG256" s="170"/>
      <c r="AH256" s="170"/>
      <c r="AI256" s="170"/>
      <c r="AJ256" s="170"/>
      <c r="AK256" s="170"/>
      <c r="AL256" s="170"/>
      <c r="AM256" s="170"/>
      <c r="AN256" s="170"/>
      <c r="AO256" s="170"/>
      <c r="AP256" s="170"/>
      <c r="AQ256" s="170"/>
      <c r="AR256" s="170"/>
      <c r="AS256" s="170"/>
      <c r="AT256" s="170"/>
      <c r="AU256" s="170"/>
      <c r="AV256" s="170"/>
      <c r="AW256" s="170"/>
      <c r="AX256" s="170"/>
      <c r="AY256" s="170"/>
    </row>
    <row r="257" spans="1:51" s="171" customFormat="1" ht="15">
      <c r="A257" s="170"/>
      <c r="B257" s="129"/>
      <c r="C257" s="179"/>
      <c r="D257" s="172"/>
      <c r="E257" s="172"/>
      <c r="F257" s="101"/>
      <c r="G257" s="101"/>
      <c r="H257" s="101"/>
      <c r="I257" s="176"/>
      <c r="J257" s="167"/>
      <c r="K257" s="223"/>
      <c r="L257" s="170"/>
      <c r="M257" s="170"/>
      <c r="N257" s="170"/>
      <c r="O257" s="170"/>
      <c r="P257" s="170"/>
      <c r="Q257" s="170"/>
      <c r="R257" s="170"/>
      <c r="S257" s="170"/>
      <c r="T257" s="170"/>
      <c r="U257" s="170"/>
      <c r="V257" s="170"/>
      <c r="W257" s="170"/>
      <c r="X257" s="170"/>
      <c r="Y257" s="170"/>
      <c r="Z257" s="170"/>
      <c r="AA257" s="170"/>
      <c r="AB257" s="170"/>
      <c r="AC257" s="170"/>
      <c r="AD257" s="170"/>
      <c r="AE257" s="170"/>
      <c r="AF257" s="170"/>
      <c r="AG257" s="170"/>
      <c r="AH257" s="170"/>
      <c r="AI257" s="170"/>
      <c r="AJ257" s="170"/>
      <c r="AK257" s="170"/>
      <c r="AL257" s="170"/>
      <c r="AM257" s="170"/>
      <c r="AN257" s="170"/>
      <c r="AO257" s="170"/>
      <c r="AP257" s="170"/>
      <c r="AQ257" s="170"/>
      <c r="AR257" s="170"/>
      <c r="AS257" s="170"/>
      <c r="AT257" s="170"/>
      <c r="AU257" s="170"/>
      <c r="AV257" s="170"/>
      <c r="AW257" s="170"/>
      <c r="AX257" s="170"/>
      <c r="AY257" s="170"/>
    </row>
    <row r="258" spans="1:51" s="171" customFormat="1" ht="25.5">
      <c r="A258" s="170"/>
      <c r="B258" s="129" t="s">
        <v>679</v>
      </c>
      <c r="C258" s="278" t="s">
        <v>983</v>
      </c>
      <c r="D258" s="172" t="s">
        <v>543</v>
      </c>
      <c r="E258" s="172"/>
      <c r="F258" s="101"/>
      <c r="G258" s="101"/>
      <c r="H258" s="101"/>
      <c r="I258" s="176"/>
      <c r="J258" s="167">
        <f>SUM(J259:J279)</f>
        <v>357.15999999999997</v>
      </c>
      <c r="K258" s="223"/>
      <c r="L258" s="170"/>
      <c r="M258" s="170"/>
      <c r="N258" s="170"/>
      <c r="O258" s="170"/>
      <c r="P258" s="170"/>
      <c r="Q258" s="170"/>
      <c r="R258" s="170"/>
      <c r="S258" s="170"/>
      <c r="T258" s="170"/>
      <c r="U258" s="170"/>
      <c r="V258" s="170"/>
      <c r="W258" s="170"/>
      <c r="X258" s="170"/>
      <c r="Y258" s="170"/>
      <c r="Z258" s="170"/>
      <c r="AA258" s="170"/>
      <c r="AB258" s="170"/>
      <c r="AC258" s="170"/>
      <c r="AD258" s="170"/>
      <c r="AE258" s="170"/>
      <c r="AF258" s="170"/>
      <c r="AG258" s="170"/>
      <c r="AH258" s="170"/>
      <c r="AI258" s="170"/>
      <c r="AJ258" s="170"/>
      <c r="AK258" s="170"/>
      <c r="AL258" s="170"/>
      <c r="AM258" s="170"/>
      <c r="AN258" s="170"/>
      <c r="AO258" s="170"/>
      <c r="AP258" s="170"/>
      <c r="AQ258" s="170"/>
      <c r="AR258" s="170"/>
      <c r="AS258" s="170"/>
      <c r="AT258" s="170"/>
      <c r="AU258" s="170"/>
      <c r="AV258" s="170"/>
      <c r="AW258" s="170"/>
      <c r="AX258" s="170"/>
      <c r="AY258" s="170"/>
    </row>
    <row r="259" spans="1:51" s="171" customFormat="1" ht="15">
      <c r="A259" s="170"/>
      <c r="B259" s="129"/>
      <c r="C259" s="179" t="s">
        <v>667</v>
      </c>
      <c r="D259" s="172" t="s">
        <v>543</v>
      </c>
      <c r="E259" s="172">
        <v>1</v>
      </c>
      <c r="F259" s="101">
        <v>3.77</v>
      </c>
      <c r="G259" s="101">
        <v>3.25</v>
      </c>
      <c r="H259" s="101"/>
      <c r="I259" s="176"/>
      <c r="J259" s="167">
        <f>(F259+G259)*2</f>
        <v>14.04</v>
      </c>
      <c r="K259" s="223"/>
      <c r="L259" s="170"/>
      <c r="M259" s="170"/>
      <c r="N259" s="170"/>
      <c r="O259" s="170"/>
      <c r="P259" s="170"/>
      <c r="Q259" s="170"/>
      <c r="R259" s="170"/>
      <c r="S259" s="170"/>
      <c r="T259" s="170"/>
      <c r="U259" s="170"/>
      <c r="V259" s="170"/>
      <c r="W259" s="170"/>
      <c r="X259" s="170"/>
      <c r="Y259" s="170"/>
      <c r="Z259" s="170"/>
      <c r="AA259" s="170"/>
      <c r="AB259" s="170"/>
      <c r="AC259" s="170"/>
      <c r="AD259" s="170"/>
      <c r="AE259" s="170"/>
      <c r="AF259" s="170"/>
      <c r="AG259" s="170"/>
      <c r="AH259" s="170"/>
      <c r="AI259" s="170"/>
      <c r="AJ259" s="170"/>
      <c r="AK259" s="170"/>
      <c r="AL259" s="170"/>
      <c r="AM259" s="170"/>
      <c r="AN259" s="170"/>
      <c r="AO259" s="170"/>
      <c r="AP259" s="170"/>
      <c r="AQ259" s="170"/>
      <c r="AR259" s="170"/>
      <c r="AS259" s="170"/>
      <c r="AT259" s="170"/>
      <c r="AU259" s="170"/>
      <c r="AV259" s="170"/>
      <c r="AW259" s="170"/>
      <c r="AX259" s="170"/>
      <c r="AY259" s="170"/>
    </row>
    <row r="260" spans="1:51" s="171" customFormat="1" ht="15">
      <c r="A260" s="170"/>
      <c r="B260" s="129"/>
      <c r="C260" s="179" t="s">
        <v>668</v>
      </c>
      <c r="D260" s="172" t="s">
        <v>543</v>
      </c>
      <c r="E260" s="172">
        <v>1</v>
      </c>
      <c r="F260" s="101">
        <v>3.44</v>
      </c>
      <c r="G260" s="101">
        <v>3.25</v>
      </c>
      <c r="H260" s="101"/>
      <c r="I260" s="176"/>
      <c r="J260" s="167">
        <f t="shared" ref="J260:J279" si="27">(F260+G260)*2</f>
        <v>13.379999999999999</v>
      </c>
      <c r="K260" s="223"/>
      <c r="L260" s="170"/>
      <c r="M260" s="170"/>
      <c r="N260" s="170"/>
      <c r="O260" s="170"/>
      <c r="P260" s="170"/>
      <c r="Q260" s="170"/>
      <c r="R260" s="170"/>
      <c r="S260" s="170"/>
      <c r="T260" s="170"/>
      <c r="U260" s="170"/>
      <c r="V260" s="170"/>
      <c r="W260" s="170"/>
      <c r="X260" s="170"/>
      <c r="Y260" s="170"/>
      <c r="Z260" s="170"/>
      <c r="AA260" s="170"/>
      <c r="AB260" s="170"/>
      <c r="AC260" s="170"/>
      <c r="AD260" s="170"/>
      <c r="AE260" s="170"/>
      <c r="AF260" s="170"/>
      <c r="AG260" s="170"/>
      <c r="AH260" s="170"/>
      <c r="AI260" s="170"/>
      <c r="AJ260" s="170"/>
      <c r="AK260" s="170"/>
      <c r="AL260" s="170"/>
      <c r="AM260" s="170"/>
      <c r="AN260" s="170"/>
      <c r="AO260" s="170"/>
      <c r="AP260" s="170"/>
      <c r="AQ260" s="170"/>
      <c r="AR260" s="170"/>
      <c r="AS260" s="170"/>
      <c r="AT260" s="170"/>
      <c r="AU260" s="170"/>
      <c r="AV260" s="170"/>
      <c r="AW260" s="170"/>
      <c r="AX260" s="170"/>
      <c r="AY260" s="170"/>
    </row>
    <row r="261" spans="1:51" s="171" customFormat="1" ht="15">
      <c r="A261" s="170"/>
      <c r="B261" s="129"/>
      <c r="C261" s="179" t="s">
        <v>669</v>
      </c>
      <c r="D261" s="172" t="s">
        <v>543</v>
      </c>
      <c r="E261" s="172">
        <v>1</v>
      </c>
      <c r="F261" s="101">
        <v>4.22</v>
      </c>
      <c r="G261" s="101">
        <v>3.25</v>
      </c>
      <c r="H261" s="101"/>
      <c r="I261" s="176"/>
      <c r="J261" s="167">
        <f t="shared" si="27"/>
        <v>14.94</v>
      </c>
      <c r="K261" s="223"/>
      <c r="L261" s="170"/>
      <c r="M261" s="170"/>
      <c r="N261" s="170"/>
      <c r="O261" s="170"/>
      <c r="P261" s="170"/>
      <c r="Q261" s="170"/>
      <c r="R261" s="170"/>
      <c r="S261" s="170"/>
      <c r="T261" s="170"/>
      <c r="U261" s="170"/>
      <c r="V261" s="170"/>
      <c r="W261" s="170"/>
      <c r="X261" s="170"/>
      <c r="Y261" s="170"/>
      <c r="Z261" s="170"/>
      <c r="AA261" s="170"/>
      <c r="AB261" s="170"/>
      <c r="AC261" s="170"/>
      <c r="AD261" s="170"/>
      <c r="AE261" s="170"/>
      <c r="AF261" s="170"/>
      <c r="AG261" s="170"/>
      <c r="AH261" s="170"/>
      <c r="AI261" s="170"/>
      <c r="AJ261" s="170"/>
      <c r="AK261" s="170"/>
      <c r="AL261" s="170"/>
      <c r="AM261" s="170"/>
      <c r="AN261" s="170"/>
      <c r="AO261" s="170"/>
      <c r="AP261" s="170"/>
      <c r="AQ261" s="170"/>
      <c r="AR261" s="170"/>
      <c r="AS261" s="170"/>
      <c r="AT261" s="170"/>
      <c r="AU261" s="170"/>
      <c r="AV261" s="170"/>
      <c r="AW261" s="170"/>
      <c r="AX261" s="170"/>
      <c r="AY261" s="170"/>
    </row>
    <row r="262" spans="1:51" s="171" customFormat="1" ht="15">
      <c r="A262" s="170"/>
      <c r="B262" s="129"/>
      <c r="C262" s="179" t="s">
        <v>670</v>
      </c>
      <c r="D262" s="172" t="s">
        <v>543</v>
      </c>
      <c r="E262" s="172">
        <v>1</v>
      </c>
      <c r="F262" s="101">
        <v>5.08</v>
      </c>
      <c r="G262" s="101">
        <v>3.25</v>
      </c>
      <c r="H262" s="101"/>
      <c r="I262" s="176"/>
      <c r="J262" s="167">
        <f t="shared" si="27"/>
        <v>16.66</v>
      </c>
      <c r="K262" s="223"/>
      <c r="L262" s="170"/>
      <c r="M262" s="170"/>
      <c r="N262" s="170"/>
      <c r="O262" s="170"/>
      <c r="P262" s="170"/>
      <c r="Q262" s="170"/>
      <c r="R262" s="170"/>
      <c r="S262" s="170"/>
      <c r="T262" s="170"/>
      <c r="U262" s="170"/>
      <c r="V262" s="170"/>
      <c r="W262" s="170"/>
      <c r="X262" s="170"/>
      <c r="Y262" s="170"/>
      <c r="Z262" s="170"/>
      <c r="AA262" s="170"/>
      <c r="AB262" s="170"/>
      <c r="AC262" s="170"/>
      <c r="AD262" s="170"/>
      <c r="AE262" s="170"/>
      <c r="AF262" s="170"/>
      <c r="AG262" s="170"/>
      <c r="AH262" s="170"/>
      <c r="AI262" s="170"/>
      <c r="AJ262" s="170"/>
      <c r="AK262" s="170"/>
      <c r="AL262" s="170"/>
      <c r="AM262" s="170"/>
      <c r="AN262" s="170"/>
      <c r="AO262" s="170"/>
      <c r="AP262" s="170"/>
      <c r="AQ262" s="170"/>
      <c r="AR262" s="170"/>
      <c r="AS262" s="170"/>
      <c r="AT262" s="170"/>
      <c r="AU262" s="170"/>
      <c r="AV262" s="170"/>
      <c r="AW262" s="170"/>
      <c r="AX262" s="170"/>
      <c r="AY262" s="170"/>
    </row>
    <row r="263" spans="1:51" s="171" customFormat="1" ht="15">
      <c r="A263" s="170"/>
      <c r="B263" s="129"/>
      <c r="C263" s="179" t="s">
        <v>671</v>
      </c>
      <c r="D263" s="172" t="s">
        <v>543</v>
      </c>
      <c r="E263" s="172">
        <v>1</v>
      </c>
      <c r="F263" s="101">
        <v>5.07</v>
      </c>
      <c r="G263" s="101">
        <v>2.5299999999999998</v>
      </c>
      <c r="H263" s="101"/>
      <c r="I263" s="176"/>
      <c r="J263" s="167">
        <f t="shared" si="27"/>
        <v>15.2</v>
      </c>
      <c r="K263" s="223"/>
      <c r="L263" s="170"/>
      <c r="M263" s="170"/>
      <c r="N263" s="170"/>
      <c r="O263" s="170"/>
      <c r="P263" s="170"/>
      <c r="Q263" s="170"/>
      <c r="R263" s="170"/>
      <c r="S263" s="170"/>
      <c r="T263" s="170"/>
      <c r="U263" s="170"/>
      <c r="V263" s="170"/>
      <c r="W263" s="170"/>
      <c r="X263" s="170"/>
      <c r="Y263" s="170"/>
      <c r="Z263" s="170"/>
      <c r="AA263" s="170"/>
      <c r="AB263" s="170"/>
      <c r="AC263" s="170"/>
      <c r="AD263" s="170"/>
      <c r="AE263" s="170"/>
      <c r="AF263" s="170"/>
      <c r="AG263" s="170"/>
      <c r="AH263" s="170"/>
      <c r="AI263" s="170"/>
      <c r="AJ263" s="170"/>
      <c r="AK263" s="170"/>
      <c r="AL263" s="170"/>
      <c r="AM263" s="170"/>
      <c r="AN263" s="170"/>
      <c r="AO263" s="170"/>
      <c r="AP263" s="170"/>
      <c r="AQ263" s="170"/>
      <c r="AR263" s="170"/>
      <c r="AS263" s="170"/>
      <c r="AT263" s="170"/>
      <c r="AU263" s="170"/>
      <c r="AV263" s="170"/>
      <c r="AW263" s="170"/>
      <c r="AX263" s="170"/>
      <c r="AY263" s="170"/>
    </row>
    <row r="264" spans="1:51" s="171" customFormat="1" ht="15">
      <c r="A264" s="170"/>
      <c r="B264" s="129"/>
      <c r="C264" s="179" t="s">
        <v>672</v>
      </c>
      <c r="D264" s="172" t="s">
        <v>543</v>
      </c>
      <c r="E264" s="172">
        <v>1</v>
      </c>
      <c r="F264" s="101">
        <v>5.07</v>
      </c>
      <c r="G264" s="101">
        <v>3.13</v>
      </c>
      <c r="H264" s="101"/>
      <c r="I264" s="176"/>
      <c r="J264" s="167">
        <f t="shared" si="27"/>
        <v>16.399999999999999</v>
      </c>
      <c r="K264" s="223"/>
      <c r="L264" s="170"/>
      <c r="M264" s="170"/>
      <c r="N264" s="170"/>
      <c r="O264" s="170"/>
      <c r="P264" s="170"/>
      <c r="Q264" s="170"/>
      <c r="R264" s="170"/>
      <c r="S264" s="170"/>
      <c r="T264" s="170"/>
      <c r="U264" s="170"/>
      <c r="V264" s="170"/>
      <c r="W264" s="170"/>
      <c r="X264" s="170"/>
      <c r="Y264" s="170"/>
      <c r="Z264" s="170"/>
      <c r="AA264" s="170"/>
      <c r="AB264" s="170"/>
      <c r="AC264" s="170"/>
      <c r="AD264" s="170"/>
      <c r="AE264" s="170"/>
      <c r="AF264" s="170"/>
      <c r="AG264" s="170"/>
      <c r="AH264" s="170"/>
      <c r="AI264" s="170"/>
      <c r="AJ264" s="170"/>
      <c r="AK264" s="170"/>
      <c r="AL264" s="170"/>
      <c r="AM264" s="170"/>
      <c r="AN264" s="170"/>
      <c r="AO264" s="170"/>
      <c r="AP264" s="170"/>
      <c r="AQ264" s="170"/>
      <c r="AR264" s="170"/>
      <c r="AS264" s="170"/>
      <c r="AT264" s="170"/>
      <c r="AU264" s="170"/>
      <c r="AV264" s="170"/>
      <c r="AW264" s="170"/>
      <c r="AX264" s="170"/>
      <c r="AY264" s="170"/>
    </row>
    <row r="265" spans="1:51" s="171" customFormat="1" ht="15">
      <c r="A265" s="170"/>
      <c r="B265" s="129"/>
      <c r="C265" s="179" t="s">
        <v>673</v>
      </c>
      <c r="D265" s="172" t="s">
        <v>543</v>
      </c>
      <c r="E265" s="172">
        <v>1</v>
      </c>
      <c r="F265" s="101">
        <v>2.69</v>
      </c>
      <c r="G265" s="101">
        <v>2.0299999999999998</v>
      </c>
      <c r="H265" s="101"/>
      <c r="I265" s="176"/>
      <c r="J265" s="167">
        <f t="shared" si="27"/>
        <v>9.44</v>
      </c>
      <c r="K265" s="223"/>
      <c r="L265" s="170"/>
      <c r="M265" s="170"/>
      <c r="N265" s="170"/>
      <c r="O265" s="170"/>
      <c r="P265" s="170"/>
      <c r="Q265" s="170"/>
      <c r="R265" s="170"/>
      <c r="S265" s="170"/>
      <c r="T265" s="170"/>
      <c r="U265" s="170"/>
      <c r="V265" s="170"/>
      <c r="W265" s="170"/>
      <c r="X265" s="170"/>
      <c r="Y265" s="170"/>
      <c r="Z265" s="170"/>
      <c r="AA265" s="170"/>
      <c r="AB265" s="170"/>
      <c r="AC265" s="170"/>
      <c r="AD265" s="170"/>
      <c r="AE265" s="170"/>
      <c r="AF265" s="170"/>
      <c r="AG265" s="170"/>
      <c r="AH265" s="170"/>
      <c r="AI265" s="170"/>
      <c r="AJ265" s="170"/>
      <c r="AK265" s="170"/>
      <c r="AL265" s="170"/>
      <c r="AM265" s="170"/>
      <c r="AN265" s="170"/>
      <c r="AO265" s="170"/>
      <c r="AP265" s="170"/>
      <c r="AQ265" s="170"/>
      <c r="AR265" s="170"/>
      <c r="AS265" s="170"/>
      <c r="AT265" s="170"/>
      <c r="AU265" s="170"/>
      <c r="AV265" s="170"/>
      <c r="AW265" s="170"/>
      <c r="AX265" s="170"/>
      <c r="AY265" s="170"/>
    </row>
    <row r="266" spans="1:51" s="171" customFormat="1" ht="15">
      <c r="A266" s="170"/>
      <c r="B266" s="129"/>
      <c r="C266" s="179" t="s">
        <v>673</v>
      </c>
      <c r="D266" s="172" t="s">
        <v>543</v>
      </c>
      <c r="E266" s="172">
        <v>1</v>
      </c>
      <c r="F266" s="101">
        <v>2.69</v>
      </c>
      <c r="G266" s="101">
        <v>2.02</v>
      </c>
      <c r="H266" s="101"/>
      <c r="I266" s="176"/>
      <c r="J266" s="167">
        <f t="shared" si="27"/>
        <v>9.42</v>
      </c>
      <c r="K266" s="223"/>
      <c r="L266" s="170"/>
      <c r="M266" s="170"/>
      <c r="N266" s="170"/>
      <c r="O266" s="170"/>
      <c r="P266" s="170"/>
      <c r="Q266" s="170"/>
      <c r="R266" s="170"/>
      <c r="S266" s="170"/>
      <c r="T266" s="170"/>
      <c r="U266" s="170"/>
      <c r="V266" s="170"/>
      <c r="W266" s="170"/>
      <c r="X266" s="170"/>
      <c r="Y266" s="170"/>
      <c r="Z266" s="170"/>
      <c r="AA266" s="170"/>
      <c r="AB266" s="170"/>
      <c r="AC266" s="170"/>
      <c r="AD266" s="170"/>
      <c r="AE266" s="170"/>
      <c r="AF266" s="170"/>
      <c r="AG266" s="170"/>
      <c r="AH266" s="170"/>
      <c r="AI266" s="170"/>
      <c r="AJ266" s="170"/>
      <c r="AK266" s="170"/>
      <c r="AL266" s="170"/>
      <c r="AM266" s="170"/>
      <c r="AN266" s="170"/>
      <c r="AO266" s="170"/>
      <c r="AP266" s="170"/>
      <c r="AQ266" s="170"/>
      <c r="AR266" s="170"/>
      <c r="AS266" s="170"/>
      <c r="AT266" s="170"/>
      <c r="AU266" s="170"/>
      <c r="AV266" s="170"/>
      <c r="AW266" s="170"/>
      <c r="AX266" s="170"/>
      <c r="AY266" s="170"/>
    </row>
    <row r="267" spans="1:51" s="171" customFormat="1" ht="15">
      <c r="A267" s="170"/>
      <c r="B267" s="129"/>
      <c r="C267" s="179" t="s">
        <v>674</v>
      </c>
      <c r="D267" s="172" t="s">
        <v>543</v>
      </c>
      <c r="E267" s="172">
        <v>1</v>
      </c>
      <c r="F267" s="101">
        <v>10</v>
      </c>
      <c r="G267" s="101">
        <v>6.76</v>
      </c>
      <c r="H267" s="101"/>
      <c r="I267" s="176"/>
      <c r="J267" s="167">
        <f t="shared" si="27"/>
        <v>33.519999999999996</v>
      </c>
      <c r="K267" s="223"/>
      <c r="L267" s="170"/>
      <c r="M267" s="170"/>
      <c r="N267" s="170"/>
      <c r="O267" s="170"/>
      <c r="P267" s="170"/>
      <c r="Q267" s="170"/>
      <c r="R267" s="170"/>
      <c r="S267" s="170"/>
      <c r="T267" s="170"/>
      <c r="U267" s="170"/>
      <c r="V267" s="170"/>
      <c r="W267" s="170"/>
      <c r="X267" s="170"/>
      <c r="Y267" s="170"/>
      <c r="Z267" s="170"/>
      <c r="AA267" s="170"/>
      <c r="AB267" s="170"/>
      <c r="AC267" s="170"/>
      <c r="AD267" s="170"/>
      <c r="AE267" s="170"/>
      <c r="AF267" s="170"/>
      <c r="AG267" s="170"/>
      <c r="AH267" s="170"/>
      <c r="AI267" s="170"/>
      <c r="AJ267" s="170"/>
      <c r="AK267" s="170"/>
      <c r="AL267" s="170"/>
      <c r="AM267" s="170"/>
      <c r="AN267" s="170"/>
      <c r="AO267" s="170"/>
      <c r="AP267" s="170"/>
      <c r="AQ267" s="170"/>
      <c r="AR267" s="170"/>
      <c r="AS267" s="170"/>
      <c r="AT267" s="170"/>
      <c r="AU267" s="170"/>
      <c r="AV267" s="170"/>
      <c r="AW267" s="170"/>
      <c r="AX267" s="170"/>
      <c r="AY267" s="170"/>
    </row>
    <row r="268" spans="1:51" s="171" customFormat="1" ht="15">
      <c r="A268" s="170"/>
      <c r="B268" s="129"/>
      <c r="C268" s="179" t="s">
        <v>675</v>
      </c>
      <c r="D268" s="172" t="s">
        <v>543</v>
      </c>
      <c r="E268" s="172">
        <v>1</v>
      </c>
      <c r="F268" s="101">
        <v>3.3</v>
      </c>
      <c r="G268" s="101">
        <v>3.9</v>
      </c>
      <c r="H268" s="101"/>
      <c r="I268" s="176"/>
      <c r="J268" s="167">
        <f t="shared" si="27"/>
        <v>14.399999999999999</v>
      </c>
      <c r="K268" s="223"/>
      <c r="L268" s="170"/>
      <c r="M268" s="170"/>
      <c r="N268" s="170"/>
      <c r="O268" s="170"/>
      <c r="P268" s="170"/>
      <c r="Q268" s="170"/>
      <c r="R268" s="170"/>
      <c r="S268" s="170"/>
      <c r="T268" s="170"/>
      <c r="U268" s="170"/>
      <c r="V268" s="170"/>
      <c r="W268" s="170"/>
      <c r="X268" s="170"/>
      <c r="Y268" s="170"/>
      <c r="Z268" s="170"/>
      <c r="AA268" s="170"/>
      <c r="AB268" s="170"/>
      <c r="AC268" s="170"/>
      <c r="AD268" s="170"/>
      <c r="AE268" s="170"/>
      <c r="AF268" s="170"/>
      <c r="AG268" s="170"/>
      <c r="AH268" s="170"/>
      <c r="AI268" s="170"/>
      <c r="AJ268" s="170"/>
      <c r="AK268" s="170"/>
      <c r="AL268" s="170"/>
      <c r="AM268" s="170"/>
      <c r="AN268" s="170"/>
      <c r="AO268" s="170"/>
      <c r="AP268" s="170"/>
      <c r="AQ268" s="170"/>
      <c r="AR268" s="170"/>
      <c r="AS268" s="170"/>
      <c r="AT268" s="170"/>
      <c r="AU268" s="170"/>
      <c r="AV268" s="170"/>
      <c r="AW268" s="170"/>
      <c r="AX268" s="170"/>
      <c r="AY268" s="170"/>
    </row>
    <row r="269" spans="1:51" s="171" customFormat="1" ht="15">
      <c r="A269" s="170"/>
      <c r="B269" s="129"/>
      <c r="C269" s="179" t="s">
        <v>675</v>
      </c>
      <c r="D269" s="172" t="s">
        <v>543</v>
      </c>
      <c r="E269" s="172">
        <v>1</v>
      </c>
      <c r="F269" s="101">
        <v>3.29</v>
      </c>
      <c r="G269" s="101">
        <v>3.9</v>
      </c>
      <c r="H269" s="101"/>
      <c r="I269" s="176"/>
      <c r="J269" s="167">
        <f t="shared" si="27"/>
        <v>14.379999999999999</v>
      </c>
      <c r="K269" s="223"/>
      <c r="L269" s="170"/>
      <c r="M269" s="170"/>
      <c r="N269" s="170"/>
      <c r="O269" s="170"/>
      <c r="P269" s="170"/>
      <c r="Q269" s="170"/>
      <c r="R269" s="170"/>
      <c r="S269" s="170"/>
      <c r="T269" s="170"/>
      <c r="U269" s="170"/>
      <c r="V269" s="170"/>
      <c r="W269" s="170"/>
      <c r="X269" s="170"/>
      <c r="Y269" s="170"/>
      <c r="Z269" s="170"/>
      <c r="AA269" s="170"/>
      <c r="AB269" s="170"/>
      <c r="AC269" s="170"/>
      <c r="AD269" s="170"/>
      <c r="AE269" s="170"/>
      <c r="AF269" s="170"/>
      <c r="AG269" s="170"/>
      <c r="AH269" s="170"/>
      <c r="AI269" s="170"/>
      <c r="AJ269" s="170"/>
      <c r="AK269" s="170"/>
      <c r="AL269" s="170"/>
      <c r="AM269" s="170"/>
      <c r="AN269" s="170"/>
      <c r="AO269" s="170"/>
      <c r="AP269" s="170"/>
      <c r="AQ269" s="170"/>
      <c r="AR269" s="170"/>
      <c r="AS269" s="170"/>
      <c r="AT269" s="170"/>
      <c r="AU269" s="170"/>
      <c r="AV269" s="170"/>
      <c r="AW269" s="170"/>
      <c r="AX269" s="170"/>
      <c r="AY269" s="170"/>
    </row>
    <row r="270" spans="1:51" s="171" customFormat="1" ht="15">
      <c r="A270" s="170"/>
      <c r="B270" s="129"/>
      <c r="C270" s="179" t="s">
        <v>675</v>
      </c>
      <c r="D270" s="172" t="s">
        <v>543</v>
      </c>
      <c r="E270" s="172">
        <v>1</v>
      </c>
      <c r="F270" s="101">
        <v>3.29</v>
      </c>
      <c r="G270" s="101">
        <v>3.9</v>
      </c>
      <c r="H270" s="101"/>
      <c r="I270" s="176"/>
      <c r="J270" s="167">
        <f t="shared" si="27"/>
        <v>14.379999999999999</v>
      </c>
      <c r="K270" s="223"/>
      <c r="L270" s="170"/>
      <c r="M270" s="170"/>
      <c r="N270" s="170"/>
      <c r="O270" s="170"/>
      <c r="P270" s="170"/>
      <c r="Q270" s="170"/>
      <c r="R270" s="170"/>
      <c r="S270" s="170"/>
      <c r="T270" s="170"/>
      <c r="U270" s="170"/>
      <c r="V270" s="170"/>
      <c r="W270" s="170"/>
      <c r="X270" s="170"/>
      <c r="Y270" s="170"/>
      <c r="Z270" s="170"/>
      <c r="AA270" s="170"/>
      <c r="AB270" s="170"/>
      <c r="AC270" s="170"/>
      <c r="AD270" s="170"/>
      <c r="AE270" s="170"/>
      <c r="AF270" s="170"/>
      <c r="AG270" s="170"/>
      <c r="AH270" s="170"/>
      <c r="AI270" s="170"/>
      <c r="AJ270" s="170"/>
      <c r="AK270" s="170"/>
      <c r="AL270" s="170"/>
      <c r="AM270" s="170"/>
      <c r="AN270" s="170"/>
      <c r="AO270" s="170"/>
      <c r="AP270" s="170"/>
      <c r="AQ270" s="170"/>
      <c r="AR270" s="170"/>
      <c r="AS270" s="170"/>
      <c r="AT270" s="170"/>
      <c r="AU270" s="170"/>
      <c r="AV270" s="170"/>
      <c r="AW270" s="170"/>
      <c r="AX270" s="170"/>
      <c r="AY270" s="170"/>
    </row>
    <row r="271" spans="1:51" s="171" customFormat="1" ht="15">
      <c r="A271" s="170"/>
      <c r="B271" s="129"/>
      <c r="C271" s="179" t="s">
        <v>675</v>
      </c>
      <c r="D271" s="172" t="s">
        <v>543</v>
      </c>
      <c r="E271" s="172">
        <v>1</v>
      </c>
      <c r="F271" s="101">
        <v>3.3</v>
      </c>
      <c r="G271" s="101">
        <v>3.9</v>
      </c>
      <c r="H271" s="101"/>
      <c r="I271" s="176"/>
      <c r="J271" s="167">
        <f t="shared" si="27"/>
        <v>14.399999999999999</v>
      </c>
      <c r="K271" s="223"/>
      <c r="L271" s="170"/>
      <c r="M271" s="170"/>
      <c r="N271" s="170"/>
      <c r="O271" s="170"/>
      <c r="P271" s="170"/>
      <c r="Q271" s="170"/>
      <c r="R271" s="170"/>
      <c r="S271" s="170"/>
      <c r="T271" s="170"/>
      <c r="U271" s="170"/>
      <c r="V271" s="170"/>
      <c r="W271" s="170"/>
      <c r="X271" s="170"/>
      <c r="Y271" s="170"/>
      <c r="Z271" s="170"/>
      <c r="AA271" s="170"/>
      <c r="AB271" s="170"/>
      <c r="AC271" s="170"/>
      <c r="AD271" s="170"/>
      <c r="AE271" s="170"/>
      <c r="AF271" s="170"/>
      <c r="AG271" s="170"/>
      <c r="AH271" s="170"/>
      <c r="AI271" s="170"/>
      <c r="AJ271" s="170"/>
      <c r="AK271" s="170"/>
      <c r="AL271" s="170"/>
      <c r="AM271" s="170"/>
      <c r="AN271" s="170"/>
      <c r="AO271" s="170"/>
      <c r="AP271" s="170"/>
      <c r="AQ271" s="170"/>
      <c r="AR271" s="170"/>
      <c r="AS271" s="170"/>
      <c r="AT271" s="170"/>
      <c r="AU271" s="170"/>
      <c r="AV271" s="170"/>
      <c r="AW271" s="170"/>
      <c r="AX271" s="170"/>
      <c r="AY271" s="170"/>
    </row>
    <row r="272" spans="1:51" s="171" customFormat="1" ht="15">
      <c r="A272" s="170"/>
      <c r="B272" s="129"/>
      <c r="C272" s="179" t="s">
        <v>675</v>
      </c>
      <c r="D272" s="172" t="s">
        <v>543</v>
      </c>
      <c r="E272" s="172">
        <v>1</v>
      </c>
      <c r="F272" s="101">
        <v>3.29</v>
      </c>
      <c r="G272" s="101">
        <v>3.9</v>
      </c>
      <c r="H272" s="101"/>
      <c r="I272" s="176"/>
      <c r="J272" s="167">
        <f t="shared" si="27"/>
        <v>14.379999999999999</v>
      </c>
      <c r="K272" s="223"/>
      <c r="L272" s="170"/>
      <c r="M272" s="170"/>
      <c r="N272" s="170"/>
      <c r="O272" s="170"/>
      <c r="P272" s="170"/>
      <c r="Q272" s="170"/>
      <c r="R272" s="170"/>
      <c r="S272" s="170"/>
      <c r="T272" s="170"/>
      <c r="U272" s="170"/>
      <c r="V272" s="170"/>
      <c r="W272" s="170"/>
      <c r="X272" s="170"/>
      <c r="Y272" s="170"/>
      <c r="Z272" s="170"/>
      <c r="AA272" s="170"/>
      <c r="AB272" s="170"/>
      <c r="AC272" s="170"/>
      <c r="AD272" s="170"/>
      <c r="AE272" s="170"/>
      <c r="AF272" s="170"/>
      <c r="AG272" s="170"/>
      <c r="AH272" s="170"/>
      <c r="AI272" s="170"/>
      <c r="AJ272" s="170"/>
      <c r="AK272" s="170"/>
      <c r="AL272" s="170"/>
      <c r="AM272" s="170"/>
      <c r="AN272" s="170"/>
      <c r="AO272" s="170"/>
      <c r="AP272" s="170"/>
      <c r="AQ272" s="170"/>
      <c r="AR272" s="170"/>
      <c r="AS272" s="170"/>
      <c r="AT272" s="170"/>
      <c r="AU272" s="170"/>
      <c r="AV272" s="170"/>
      <c r="AW272" s="170"/>
      <c r="AX272" s="170"/>
      <c r="AY272" s="170"/>
    </row>
    <row r="273" spans="1:51" s="171" customFormat="1" ht="15">
      <c r="A273" s="170"/>
      <c r="B273" s="129"/>
      <c r="C273" s="179" t="s">
        <v>675</v>
      </c>
      <c r="D273" s="172" t="s">
        <v>543</v>
      </c>
      <c r="E273" s="172">
        <v>1</v>
      </c>
      <c r="F273" s="101">
        <v>3.29</v>
      </c>
      <c r="G273" s="101">
        <v>3.9</v>
      </c>
      <c r="H273" s="101"/>
      <c r="I273" s="176"/>
      <c r="J273" s="167">
        <f t="shared" si="27"/>
        <v>14.379999999999999</v>
      </c>
      <c r="K273" s="223"/>
      <c r="L273" s="170"/>
      <c r="M273" s="170"/>
      <c r="N273" s="170"/>
      <c r="O273" s="170"/>
      <c r="P273" s="170"/>
      <c r="Q273" s="170"/>
      <c r="R273" s="170"/>
      <c r="S273" s="170"/>
      <c r="T273" s="170"/>
      <c r="U273" s="170"/>
      <c r="V273" s="170"/>
      <c r="W273" s="170"/>
      <c r="X273" s="170"/>
      <c r="Y273" s="170"/>
      <c r="Z273" s="170"/>
      <c r="AA273" s="170"/>
      <c r="AB273" s="170"/>
      <c r="AC273" s="170"/>
      <c r="AD273" s="170"/>
      <c r="AE273" s="170"/>
      <c r="AF273" s="170"/>
      <c r="AG273" s="170"/>
      <c r="AH273" s="170"/>
      <c r="AI273" s="170"/>
      <c r="AJ273" s="170"/>
      <c r="AK273" s="170"/>
      <c r="AL273" s="170"/>
      <c r="AM273" s="170"/>
      <c r="AN273" s="170"/>
      <c r="AO273" s="170"/>
      <c r="AP273" s="170"/>
      <c r="AQ273" s="170"/>
      <c r="AR273" s="170"/>
      <c r="AS273" s="170"/>
      <c r="AT273" s="170"/>
      <c r="AU273" s="170"/>
      <c r="AV273" s="170"/>
      <c r="AW273" s="170"/>
      <c r="AX273" s="170"/>
      <c r="AY273" s="170"/>
    </row>
    <row r="274" spans="1:51" s="171" customFormat="1" ht="15">
      <c r="A274" s="170"/>
      <c r="B274" s="129"/>
      <c r="C274" s="179" t="s">
        <v>676</v>
      </c>
      <c r="D274" s="172" t="s">
        <v>543</v>
      </c>
      <c r="E274" s="172">
        <v>1</v>
      </c>
      <c r="F274" s="101">
        <v>6.63</v>
      </c>
      <c r="G274" s="101">
        <v>6</v>
      </c>
      <c r="H274" s="101"/>
      <c r="I274" s="176"/>
      <c r="J274" s="167">
        <f t="shared" si="27"/>
        <v>25.259999999999998</v>
      </c>
      <c r="K274" s="223"/>
      <c r="L274" s="170"/>
      <c r="M274" s="170"/>
      <c r="N274" s="170"/>
      <c r="O274" s="170"/>
      <c r="P274" s="170"/>
      <c r="Q274" s="170"/>
      <c r="R274" s="170"/>
      <c r="S274" s="170"/>
      <c r="T274" s="170"/>
      <c r="U274" s="170"/>
      <c r="V274" s="170"/>
      <c r="W274" s="170"/>
      <c r="X274" s="170"/>
      <c r="Y274" s="170"/>
      <c r="Z274" s="170"/>
      <c r="AA274" s="170"/>
      <c r="AB274" s="170"/>
      <c r="AC274" s="170"/>
      <c r="AD274" s="170"/>
      <c r="AE274" s="170"/>
      <c r="AF274" s="170"/>
      <c r="AG274" s="170"/>
      <c r="AH274" s="170"/>
      <c r="AI274" s="170"/>
      <c r="AJ274" s="170"/>
      <c r="AK274" s="170"/>
      <c r="AL274" s="170"/>
      <c r="AM274" s="170"/>
      <c r="AN274" s="170"/>
      <c r="AO274" s="170"/>
      <c r="AP274" s="170"/>
      <c r="AQ274" s="170"/>
      <c r="AR274" s="170"/>
      <c r="AS274" s="170"/>
      <c r="AT274" s="170"/>
      <c r="AU274" s="170"/>
      <c r="AV274" s="170"/>
      <c r="AW274" s="170"/>
      <c r="AX274" s="170"/>
      <c r="AY274" s="170"/>
    </row>
    <row r="275" spans="1:51" s="171" customFormat="1" ht="15">
      <c r="A275" s="170"/>
      <c r="B275" s="129"/>
      <c r="C275" s="179" t="s">
        <v>677</v>
      </c>
      <c r="D275" s="172" t="s">
        <v>543</v>
      </c>
      <c r="E275" s="172">
        <v>1</v>
      </c>
      <c r="F275" s="101">
        <v>5.48</v>
      </c>
      <c r="G275" s="101">
        <v>3.82</v>
      </c>
      <c r="H275" s="101"/>
      <c r="I275" s="176"/>
      <c r="J275" s="167">
        <f t="shared" si="27"/>
        <v>18.600000000000001</v>
      </c>
      <c r="K275" s="223"/>
      <c r="L275" s="170"/>
      <c r="M275" s="170"/>
      <c r="N275" s="170"/>
      <c r="O275" s="170"/>
      <c r="P275" s="170"/>
      <c r="Q275" s="170"/>
      <c r="R275" s="170"/>
      <c r="S275" s="170"/>
      <c r="T275" s="170"/>
      <c r="U275" s="170"/>
      <c r="V275" s="170"/>
      <c r="W275" s="170"/>
      <c r="X275" s="170"/>
      <c r="Y275" s="170"/>
      <c r="Z275" s="170"/>
      <c r="AA275" s="170"/>
      <c r="AB275" s="170"/>
      <c r="AC275" s="170"/>
      <c r="AD275" s="170"/>
      <c r="AE275" s="170"/>
      <c r="AF275" s="170"/>
      <c r="AG275" s="170"/>
      <c r="AH275" s="170"/>
      <c r="AI275" s="170"/>
      <c r="AJ275" s="170"/>
      <c r="AK275" s="170"/>
      <c r="AL275" s="170"/>
      <c r="AM275" s="170"/>
      <c r="AN275" s="170"/>
      <c r="AO275" s="170"/>
      <c r="AP275" s="170"/>
      <c r="AQ275" s="170"/>
      <c r="AR275" s="170"/>
      <c r="AS275" s="170"/>
      <c r="AT275" s="170"/>
      <c r="AU275" s="170"/>
      <c r="AV275" s="170"/>
      <c r="AW275" s="170"/>
      <c r="AX275" s="170"/>
      <c r="AY275" s="170"/>
    </row>
    <row r="276" spans="1:51" s="171" customFormat="1" ht="15">
      <c r="A276" s="170"/>
      <c r="B276" s="129"/>
      <c r="C276" s="179" t="s">
        <v>678</v>
      </c>
      <c r="D276" s="172" t="s">
        <v>543</v>
      </c>
      <c r="E276" s="172">
        <v>1</v>
      </c>
      <c r="F276" s="101">
        <v>10.029999999999999</v>
      </c>
      <c r="G276" s="101">
        <v>1.2</v>
      </c>
      <c r="H276" s="101"/>
      <c r="I276" s="176"/>
      <c r="J276" s="167">
        <f t="shared" si="27"/>
        <v>22.459999999999997</v>
      </c>
      <c r="K276" s="223"/>
      <c r="L276" s="170"/>
      <c r="M276" s="170"/>
      <c r="N276" s="170"/>
      <c r="O276" s="170"/>
      <c r="P276" s="170"/>
      <c r="Q276" s="170"/>
      <c r="R276" s="170"/>
      <c r="S276" s="170"/>
      <c r="T276" s="170"/>
      <c r="U276" s="170"/>
      <c r="V276" s="170"/>
      <c r="W276" s="170"/>
      <c r="X276" s="170"/>
      <c r="Y276" s="170"/>
      <c r="Z276" s="170"/>
      <c r="AA276" s="170"/>
      <c r="AB276" s="170"/>
      <c r="AC276" s="170"/>
      <c r="AD276" s="170"/>
      <c r="AE276" s="170"/>
      <c r="AF276" s="170"/>
      <c r="AG276" s="170"/>
      <c r="AH276" s="170"/>
      <c r="AI276" s="170"/>
      <c r="AJ276" s="170"/>
      <c r="AK276" s="170"/>
      <c r="AL276" s="170"/>
      <c r="AM276" s="170"/>
      <c r="AN276" s="170"/>
      <c r="AO276" s="170"/>
      <c r="AP276" s="170"/>
      <c r="AQ276" s="170"/>
      <c r="AR276" s="170"/>
      <c r="AS276" s="170"/>
      <c r="AT276" s="170"/>
      <c r="AU276" s="170"/>
      <c r="AV276" s="170"/>
      <c r="AW276" s="170"/>
      <c r="AX276" s="170"/>
      <c r="AY276" s="170"/>
    </row>
    <row r="277" spans="1:51" s="171" customFormat="1" ht="15">
      <c r="A277" s="170"/>
      <c r="B277" s="129"/>
      <c r="C277" s="179" t="s">
        <v>678</v>
      </c>
      <c r="D277" s="172" t="s">
        <v>543</v>
      </c>
      <c r="E277" s="172">
        <v>1</v>
      </c>
      <c r="F277" s="101">
        <v>3.99</v>
      </c>
      <c r="G277" s="101">
        <v>4.1399999999999997</v>
      </c>
      <c r="H277" s="101"/>
      <c r="I277" s="176"/>
      <c r="J277" s="167">
        <f t="shared" si="27"/>
        <v>16.259999999999998</v>
      </c>
      <c r="K277" s="223"/>
      <c r="L277" s="170"/>
      <c r="M277" s="170"/>
      <c r="N277" s="170"/>
      <c r="O277" s="170"/>
      <c r="P277" s="170"/>
      <c r="Q277" s="170"/>
      <c r="R277" s="170"/>
      <c r="S277" s="170"/>
      <c r="T277" s="170"/>
      <c r="U277" s="170"/>
      <c r="V277" s="170"/>
      <c r="W277" s="170"/>
      <c r="X277" s="170"/>
      <c r="Y277" s="170"/>
      <c r="Z277" s="170"/>
      <c r="AA277" s="170"/>
      <c r="AB277" s="170"/>
      <c r="AC277" s="170"/>
      <c r="AD277" s="170"/>
      <c r="AE277" s="170"/>
      <c r="AF277" s="170"/>
      <c r="AG277" s="170"/>
      <c r="AH277" s="170"/>
      <c r="AI277" s="170"/>
      <c r="AJ277" s="170"/>
      <c r="AK277" s="170"/>
      <c r="AL277" s="170"/>
      <c r="AM277" s="170"/>
      <c r="AN277" s="170"/>
      <c r="AO277" s="170"/>
      <c r="AP277" s="170"/>
      <c r="AQ277" s="170"/>
      <c r="AR277" s="170"/>
      <c r="AS277" s="170"/>
      <c r="AT277" s="170"/>
      <c r="AU277" s="170"/>
      <c r="AV277" s="170"/>
      <c r="AW277" s="170"/>
      <c r="AX277" s="170"/>
      <c r="AY277" s="170"/>
    </row>
    <row r="278" spans="1:51" s="171" customFormat="1" ht="15">
      <c r="A278" s="170"/>
      <c r="B278" s="129"/>
      <c r="C278" s="179" t="s">
        <v>678</v>
      </c>
      <c r="D278" s="172" t="s">
        <v>543</v>
      </c>
      <c r="E278" s="172">
        <v>1</v>
      </c>
      <c r="F278" s="101">
        <v>1.5</v>
      </c>
      <c r="G278" s="101">
        <v>7.01</v>
      </c>
      <c r="H278" s="101"/>
      <c r="I278" s="176"/>
      <c r="J278" s="167">
        <f t="shared" si="27"/>
        <v>17.02</v>
      </c>
      <c r="K278" s="223"/>
      <c r="L278" s="170"/>
      <c r="M278" s="170"/>
      <c r="N278" s="170"/>
      <c r="O278" s="170"/>
      <c r="P278" s="170"/>
      <c r="Q278" s="170"/>
      <c r="R278" s="170"/>
      <c r="S278" s="170"/>
      <c r="T278" s="170"/>
      <c r="U278" s="170"/>
      <c r="V278" s="170"/>
      <c r="W278" s="170"/>
      <c r="X278" s="170"/>
      <c r="Y278" s="170"/>
      <c r="Z278" s="170"/>
      <c r="AA278" s="170"/>
      <c r="AB278" s="170"/>
      <c r="AC278" s="170"/>
      <c r="AD278" s="170"/>
      <c r="AE278" s="170"/>
      <c r="AF278" s="170"/>
      <c r="AG278" s="170"/>
      <c r="AH278" s="170"/>
      <c r="AI278" s="170"/>
      <c r="AJ278" s="170"/>
      <c r="AK278" s="170"/>
      <c r="AL278" s="170"/>
      <c r="AM278" s="170"/>
      <c r="AN278" s="170"/>
      <c r="AO278" s="170"/>
      <c r="AP278" s="170"/>
      <c r="AQ278" s="170"/>
      <c r="AR278" s="170"/>
      <c r="AS278" s="170"/>
      <c r="AT278" s="170"/>
      <c r="AU278" s="170"/>
      <c r="AV278" s="170"/>
      <c r="AW278" s="170"/>
      <c r="AX278" s="170"/>
      <c r="AY278" s="170"/>
    </row>
    <row r="279" spans="1:51" s="171" customFormat="1" ht="15">
      <c r="A279" s="170"/>
      <c r="B279" s="129"/>
      <c r="C279" s="179" t="s">
        <v>678</v>
      </c>
      <c r="D279" s="172" t="s">
        <v>543</v>
      </c>
      <c r="E279" s="172">
        <v>1</v>
      </c>
      <c r="F279" s="101">
        <v>12.92</v>
      </c>
      <c r="G279" s="101">
        <v>1.2</v>
      </c>
      <c r="H279" s="101"/>
      <c r="I279" s="176"/>
      <c r="J279" s="167">
        <f t="shared" si="27"/>
        <v>28.24</v>
      </c>
      <c r="K279" s="223"/>
      <c r="L279" s="170"/>
      <c r="M279" s="170"/>
      <c r="N279" s="170"/>
      <c r="O279" s="170"/>
      <c r="P279" s="170"/>
      <c r="Q279" s="170"/>
      <c r="R279" s="170"/>
      <c r="S279" s="170"/>
      <c r="T279" s="170"/>
      <c r="U279" s="170"/>
      <c r="V279" s="170"/>
      <c r="W279" s="170"/>
      <c r="X279" s="170"/>
      <c r="Y279" s="170"/>
      <c r="Z279" s="170"/>
      <c r="AA279" s="170"/>
      <c r="AB279" s="170"/>
      <c r="AC279" s="170"/>
      <c r="AD279" s="170"/>
      <c r="AE279" s="170"/>
      <c r="AF279" s="170"/>
      <c r="AG279" s="170"/>
      <c r="AH279" s="170"/>
      <c r="AI279" s="170"/>
      <c r="AJ279" s="170"/>
      <c r="AK279" s="170"/>
      <c r="AL279" s="170"/>
      <c r="AM279" s="170"/>
      <c r="AN279" s="170"/>
      <c r="AO279" s="170"/>
      <c r="AP279" s="170"/>
      <c r="AQ279" s="170"/>
      <c r="AR279" s="170"/>
      <c r="AS279" s="170"/>
      <c r="AT279" s="170"/>
      <c r="AU279" s="170"/>
      <c r="AV279" s="170"/>
      <c r="AW279" s="170"/>
      <c r="AX279" s="170"/>
      <c r="AY279" s="170"/>
    </row>
    <row r="280" spans="1:51" s="171" customFormat="1" ht="15">
      <c r="A280" s="170"/>
      <c r="B280" s="129"/>
      <c r="C280" s="179"/>
      <c r="D280" s="172"/>
      <c r="E280" s="172"/>
      <c r="F280" s="101"/>
      <c r="G280" s="101"/>
      <c r="H280" s="101"/>
      <c r="I280" s="176"/>
      <c r="J280" s="167"/>
      <c r="K280" s="223"/>
      <c r="L280" s="170"/>
      <c r="M280" s="170"/>
      <c r="N280" s="170"/>
      <c r="O280" s="170"/>
      <c r="P280" s="170"/>
      <c r="Q280" s="170"/>
      <c r="R280" s="170"/>
      <c r="S280" s="170"/>
      <c r="T280" s="170"/>
      <c r="U280" s="170"/>
      <c r="V280" s="170"/>
      <c r="W280" s="170"/>
      <c r="X280" s="170"/>
      <c r="Y280" s="170"/>
      <c r="Z280" s="170"/>
      <c r="AA280" s="170"/>
      <c r="AB280" s="170"/>
      <c r="AC280" s="170"/>
      <c r="AD280" s="170"/>
      <c r="AE280" s="170"/>
      <c r="AF280" s="170"/>
      <c r="AG280" s="170"/>
      <c r="AH280" s="170"/>
      <c r="AI280" s="170"/>
      <c r="AJ280" s="170"/>
      <c r="AK280" s="170"/>
      <c r="AL280" s="170"/>
      <c r="AM280" s="170"/>
      <c r="AN280" s="170"/>
      <c r="AO280" s="170"/>
      <c r="AP280" s="170"/>
      <c r="AQ280" s="170"/>
      <c r="AR280" s="170"/>
      <c r="AS280" s="170"/>
      <c r="AT280" s="170"/>
      <c r="AU280" s="170"/>
      <c r="AV280" s="170"/>
      <c r="AW280" s="170"/>
      <c r="AX280" s="170"/>
      <c r="AY280" s="170"/>
    </row>
    <row r="281" spans="1:51" s="171" customFormat="1" ht="38.25">
      <c r="A281" s="170"/>
      <c r="B281" s="129" t="s">
        <v>680</v>
      </c>
      <c r="C281" s="299" t="s">
        <v>984</v>
      </c>
      <c r="D281" s="172"/>
      <c r="E281" s="172"/>
      <c r="F281" s="101"/>
      <c r="G281" s="101"/>
      <c r="H281" s="101"/>
      <c r="I281" s="176"/>
      <c r="J281" s="167">
        <f>SUM(J282)</f>
        <v>353.19939999999997</v>
      </c>
      <c r="K281" s="223"/>
      <c r="L281" s="170"/>
      <c r="M281" s="170"/>
      <c r="N281" s="170"/>
      <c r="O281" s="170"/>
      <c r="P281" s="170"/>
      <c r="Q281" s="170"/>
      <c r="R281" s="170"/>
      <c r="S281" s="170"/>
      <c r="T281" s="170"/>
      <c r="U281" s="170"/>
      <c r="V281" s="170"/>
      <c r="W281" s="170"/>
      <c r="X281" s="170"/>
      <c r="Y281" s="170"/>
      <c r="Z281" s="170"/>
      <c r="AA281" s="170"/>
      <c r="AB281" s="170"/>
      <c r="AC281" s="170"/>
      <c r="AD281" s="170"/>
      <c r="AE281" s="170"/>
      <c r="AF281" s="170"/>
      <c r="AG281" s="170"/>
      <c r="AH281" s="170"/>
      <c r="AI281" s="170"/>
      <c r="AJ281" s="170"/>
      <c r="AK281" s="170"/>
      <c r="AL281" s="170"/>
      <c r="AM281" s="170"/>
      <c r="AN281" s="170"/>
      <c r="AO281" s="170"/>
      <c r="AP281" s="170"/>
      <c r="AQ281" s="170"/>
      <c r="AR281" s="170"/>
      <c r="AS281" s="170"/>
      <c r="AT281" s="170"/>
      <c r="AU281" s="170"/>
      <c r="AV281" s="170"/>
      <c r="AW281" s="170"/>
      <c r="AX281" s="170"/>
      <c r="AY281" s="170"/>
    </row>
    <row r="282" spans="1:51" s="171" customFormat="1" ht="15">
      <c r="A282" s="170"/>
      <c r="B282" s="129"/>
      <c r="C282" s="179" t="s">
        <v>1109</v>
      </c>
      <c r="D282" s="172"/>
      <c r="E282" s="172"/>
      <c r="F282" s="101"/>
      <c r="G282" s="101"/>
      <c r="H282" s="101"/>
      <c r="I282" s="176"/>
      <c r="J282" s="167">
        <f>J235</f>
        <v>353.19939999999997</v>
      </c>
      <c r="K282" s="223"/>
      <c r="L282" s="170"/>
      <c r="M282" s="170"/>
      <c r="N282" s="170"/>
      <c r="O282" s="170"/>
      <c r="P282" s="170"/>
      <c r="Q282" s="170"/>
      <c r="R282" s="170"/>
      <c r="S282" s="170"/>
      <c r="T282" s="170"/>
      <c r="U282" s="170"/>
      <c r="V282" s="170"/>
      <c r="W282" s="170"/>
      <c r="X282" s="170"/>
      <c r="Y282" s="170"/>
      <c r="Z282" s="170"/>
      <c r="AA282" s="170"/>
      <c r="AB282" s="170"/>
      <c r="AC282" s="170"/>
      <c r="AD282" s="170"/>
      <c r="AE282" s="170"/>
      <c r="AF282" s="170"/>
      <c r="AG282" s="170"/>
      <c r="AH282" s="170"/>
      <c r="AI282" s="170"/>
      <c r="AJ282" s="170"/>
      <c r="AK282" s="170"/>
      <c r="AL282" s="170"/>
      <c r="AM282" s="170"/>
      <c r="AN282" s="170"/>
      <c r="AO282" s="170"/>
      <c r="AP282" s="170"/>
      <c r="AQ282" s="170"/>
      <c r="AR282" s="170"/>
      <c r="AS282" s="170"/>
      <c r="AT282" s="170"/>
      <c r="AU282" s="170"/>
      <c r="AV282" s="170"/>
      <c r="AW282" s="170"/>
      <c r="AX282" s="170"/>
      <c r="AY282" s="170"/>
    </row>
    <row r="283" spans="1:51" s="171" customFormat="1" ht="15">
      <c r="A283" s="170"/>
      <c r="B283" s="129"/>
      <c r="C283" s="179"/>
      <c r="D283" s="172"/>
      <c r="E283" s="172"/>
      <c r="F283" s="101"/>
      <c r="G283" s="101"/>
      <c r="H283" s="101"/>
      <c r="I283" s="176"/>
      <c r="J283" s="167"/>
      <c r="K283" s="223"/>
      <c r="L283" s="170"/>
      <c r="M283" s="170"/>
      <c r="N283" s="170"/>
      <c r="O283" s="170"/>
      <c r="P283" s="170"/>
      <c r="Q283" s="170"/>
      <c r="R283" s="170"/>
      <c r="S283" s="170"/>
      <c r="T283" s="170"/>
      <c r="U283" s="170"/>
      <c r="V283" s="170"/>
      <c r="W283" s="170"/>
      <c r="X283" s="170"/>
      <c r="Y283" s="170"/>
      <c r="Z283" s="170"/>
      <c r="AA283" s="170"/>
      <c r="AB283" s="170"/>
      <c r="AC283" s="170"/>
      <c r="AD283" s="170"/>
      <c r="AE283" s="170"/>
      <c r="AF283" s="170"/>
      <c r="AG283" s="170"/>
      <c r="AH283" s="170"/>
      <c r="AI283" s="170"/>
      <c r="AJ283" s="170"/>
      <c r="AK283" s="170"/>
      <c r="AL283" s="170"/>
      <c r="AM283" s="170"/>
      <c r="AN283" s="170"/>
      <c r="AO283" s="170"/>
      <c r="AP283" s="170"/>
      <c r="AQ283" s="170"/>
      <c r="AR283" s="170"/>
      <c r="AS283" s="170"/>
      <c r="AT283" s="170"/>
      <c r="AU283" s="170"/>
      <c r="AV283" s="170"/>
      <c r="AW283" s="170"/>
      <c r="AX283" s="170"/>
      <c r="AY283" s="170"/>
    </row>
    <row r="284" spans="1:51" s="171" customFormat="1" ht="25.5">
      <c r="A284" s="170"/>
      <c r="B284" s="129" t="s">
        <v>682</v>
      </c>
      <c r="C284" s="299" t="s">
        <v>931</v>
      </c>
      <c r="D284" s="172"/>
      <c r="E284" s="172"/>
      <c r="F284" s="101"/>
      <c r="G284" s="101"/>
      <c r="H284" s="101"/>
      <c r="I284" s="176"/>
      <c r="J284" s="167">
        <f>SUM(J285)</f>
        <v>353.19939999999997</v>
      </c>
      <c r="K284" s="223"/>
      <c r="L284" s="170"/>
      <c r="M284" s="170"/>
      <c r="N284" s="170"/>
      <c r="O284" s="170"/>
      <c r="P284" s="170"/>
      <c r="Q284" s="170"/>
      <c r="R284" s="170"/>
      <c r="S284" s="170"/>
      <c r="T284" s="170"/>
      <c r="U284" s="170"/>
      <c r="V284" s="170"/>
      <c r="W284" s="170"/>
      <c r="X284" s="170"/>
      <c r="Y284" s="170"/>
      <c r="Z284" s="170"/>
      <c r="AA284" s="170"/>
      <c r="AB284" s="170"/>
      <c r="AC284" s="170"/>
      <c r="AD284" s="170"/>
      <c r="AE284" s="170"/>
      <c r="AF284" s="170"/>
      <c r="AG284" s="170"/>
      <c r="AH284" s="170"/>
      <c r="AI284" s="170"/>
      <c r="AJ284" s="170"/>
      <c r="AK284" s="170"/>
      <c r="AL284" s="170"/>
      <c r="AM284" s="170"/>
      <c r="AN284" s="170"/>
      <c r="AO284" s="170"/>
      <c r="AP284" s="170"/>
      <c r="AQ284" s="170"/>
      <c r="AR284" s="170"/>
      <c r="AS284" s="170"/>
      <c r="AT284" s="170"/>
      <c r="AU284" s="170"/>
      <c r="AV284" s="170"/>
      <c r="AW284" s="170"/>
      <c r="AX284" s="170"/>
      <c r="AY284" s="170"/>
    </row>
    <row r="285" spans="1:51" s="171" customFormat="1" ht="15">
      <c r="A285" s="170"/>
      <c r="B285" s="129"/>
      <c r="C285" s="179" t="s">
        <v>1109</v>
      </c>
      <c r="D285" s="172"/>
      <c r="E285" s="172"/>
      <c r="F285" s="101"/>
      <c r="G285" s="101"/>
      <c r="H285" s="101"/>
      <c r="I285" s="176"/>
      <c r="J285" s="167">
        <f>J235</f>
        <v>353.19939999999997</v>
      </c>
      <c r="K285" s="223"/>
      <c r="L285" s="170"/>
      <c r="M285" s="170"/>
      <c r="N285" s="170"/>
      <c r="O285" s="170"/>
      <c r="P285" s="170"/>
      <c r="Q285" s="170"/>
      <c r="R285" s="170"/>
      <c r="S285" s="170"/>
      <c r="T285" s="170"/>
      <c r="U285" s="170"/>
      <c r="V285" s="170"/>
      <c r="W285" s="170"/>
      <c r="X285" s="170"/>
      <c r="Y285" s="170"/>
      <c r="Z285" s="170"/>
      <c r="AA285" s="170"/>
      <c r="AB285" s="170"/>
      <c r="AC285" s="170"/>
      <c r="AD285" s="170"/>
      <c r="AE285" s="170"/>
      <c r="AF285" s="170"/>
      <c r="AG285" s="170"/>
      <c r="AH285" s="170"/>
      <c r="AI285" s="170"/>
      <c r="AJ285" s="170"/>
      <c r="AK285" s="170"/>
      <c r="AL285" s="170"/>
      <c r="AM285" s="170"/>
      <c r="AN285" s="170"/>
      <c r="AO285" s="170"/>
      <c r="AP285" s="170"/>
      <c r="AQ285" s="170"/>
      <c r="AR285" s="170"/>
      <c r="AS285" s="170"/>
      <c r="AT285" s="170"/>
      <c r="AU285" s="170"/>
      <c r="AV285" s="170"/>
      <c r="AW285" s="170"/>
      <c r="AX285" s="170"/>
      <c r="AY285" s="170"/>
    </row>
    <row r="286" spans="1:51" s="171" customFormat="1" ht="15">
      <c r="A286" s="170"/>
      <c r="B286" s="129"/>
      <c r="C286" s="179"/>
      <c r="D286" s="172"/>
      <c r="E286" s="172"/>
      <c r="F286" s="101"/>
      <c r="G286" s="101"/>
      <c r="H286" s="101"/>
      <c r="I286" s="176"/>
      <c r="J286" s="167"/>
      <c r="K286" s="223"/>
      <c r="L286" s="170"/>
      <c r="M286" s="170"/>
      <c r="N286" s="170"/>
      <c r="O286" s="170"/>
      <c r="P286" s="170"/>
      <c r="Q286" s="170"/>
      <c r="R286" s="170"/>
      <c r="S286" s="170"/>
      <c r="T286" s="170"/>
      <c r="U286" s="170"/>
      <c r="V286" s="170"/>
      <c r="W286" s="170"/>
      <c r="X286" s="170"/>
      <c r="Y286" s="170"/>
      <c r="Z286" s="170"/>
      <c r="AA286" s="170"/>
      <c r="AB286" s="170"/>
      <c r="AC286" s="170"/>
      <c r="AD286" s="170"/>
      <c r="AE286" s="170"/>
      <c r="AF286" s="170"/>
      <c r="AG286" s="170"/>
      <c r="AH286" s="170"/>
      <c r="AI286" s="170"/>
      <c r="AJ286" s="170"/>
      <c r="AK286" s="170"/>
      <c r="AL286" s="170"/>
      <c r="AM286" s="170"/>
      <c r="AN286" s="170"/>
      <c r="AO286" s="170"/>
      <c r="AP286" s="170"/>
      <c r="AQ286" s="170"/>
      <c r="AR286" s="170"/>
      <c r="AS286" s="170"/>
      <c r="AT286" s="170"/>
      <c r="AU286" s="170"/>
      <c r="AV286" s="170"/>
      <c r="AW286" s="170"/>
      <c r="AX286" s="170"/>
      <c r="AY286" s="170"/>
    </row>
    <row r="287" spans="1:51" s="171" customFormat="1" ht="38.25">
      <c r="A287" s="170"/>
      <c r="B287" s="129" t="s">
        <v>684</v>
      </c>
      <c r="C287" s="278" t="s">
        <v>1238</v>
      </c>
      <c r="D287" s="172" t="s">
        <v>543</v>
      </c>
      <c r="E287" s="172"/>
      <c r="F287" s="101"/>
      <c r="G287" s="101">
        <v>30.26</v>
      </c>
      <c r="H287" s="101">
        <v>0.8</v>
      </c>
      <c r="I287" s="176" t="s">
        <v>1084</v>
      </c>
      <c r="J287" s="166">
        <f>TRUNC(G287*H287,2)</f>
        <v>24.2</v>
      </c>
      <c r="K287" s="223"/>
      <c r="L287" s="170"/>
      <c r="M287" s="170"/>
      <c r="N287" s="170"/>
      <c r="O287" s="170"/>
      <c r="P287" s="170"/>
      <c r="Q287" s="170"/>
      <c r="R287" s="170"/>
      <c r="S287" s="170"/>
      <c r="T287" s="170"/>
      <c r="U287" s="170"/>
      <c r="V287" s="170"/>
      <c r="W287" s="170"/>
      <c r="X287" s="170"/>
      <c r="Y287" s="170"/>
      <c r="Z287" s="170"/>
      <c r="AA287" s="170"/>
      <c r="AB287" s="170"/>
      <c r="AC287" s="170"/>
      <c r="AD287" s="170"/>
      <c r="AE287" s="170"/>
      <c r="AF287" s="170"/>
      <c r="AG287" s="170"/>
      <c r="AH287" s="170"/>
      <c r="AI287" s="170"/>
      <c r="AJ287" s="170"/>
      <c r="AK287" s="170"/>
      <c r="AL287" s="170"/>
      <c r="AM287" s="170"/>
      <c r="AN287" s="170"/>
      <c r="AO287" s="170"/>
      <c r="AP287" s="170"/>
      <c r="AQ287" s="170"/>
      <c r="AR287" s="170"/>
      <c r="AS287" s="170"/>
      <c r="AT287" s="170"/>
      <c r="AU287" s="170"/>
      <c r="AV287" s="170"/>
      <c r="AW287" s="170"/>
      <c r="AX287" s="170"/>
      <c r="AY287" s="170"/>
    </row>
    <row r="288" spans="1:51" s="171" customFormat="1" ht="15">
      <c r="A288" s="170"/>
      <c r="B288" s="129"/>
      <c r="C288" s="176"/>
      <c r="D288" s="172"/>
      <c r="E288" s="172"/>
      <c r="F288" s="101"/>
      <c r="G288" s="101"/>
      <c r="H288" s="101"/>
      <c r="I288" s="176"/>
      <c r="J288" s="166"/>
      <c r="K288" s="223"/>
      <c r="L288" s="170"/>
      <c r="M288" s="170"/>
      <c r="N288" s="170"/>
      <c r="O288" s="170"/>
      <c r="P288" s="170"/>
      <c r="Q288" s="170"/>
      <c r="R288" s="170"/>
      <c r="S288" s="170"/>
      <c r="T288" s="170"/>
      <c r="U288" s="170"/>
      <c r="V288" s="170"/>
      <c r="W288" s="170"/>
      <c r="X288" s="170"/>
      <c r="Y288" s="170"/>
      <c r="Z288" s="170"/>
      <c r="AA288" s="170"/>
      <c r="AB288" s="170"/>
      <c r="AC288" s="170"/>
      <c r="AD288" s="170"/>
      <c r="AE288" s="170"/>
      <c r="AF288" s="170"/>
      <c r="AG288" s="170"/>
      <c r="AH288" s="170"/>
      <c r="AI288" s="170"/>
      <c r="AJ288" s="170"/>
      <c r="AK288" s="170"/>
      <c r="AL288" s="170"/>
      <c r="AM288" s="170"/>
      <c r="AN288" s="170"/>
      <c r="AO288" s="170"/>
      <c r="AP288" s="170"/>
      <c r="AQ288" s="170"/>
      <c r="AR288" s="170"/>
      <c r="AS288" s="170"/>
      <c r="AT288" s="170"/>
      <c r="AU288" s="170"/>
      <c r="AV288" s="170"/>
      <c r="AW288" s="170"/>
      <c r="AX288" s="170"/>
      <c r="AY288" s="170"/>
    </row>
    <row r="289" spans="1:51" s="171" customFormat="1" ht="25.5">
      <c r="A289" s="170"/>
      <c r="B289" s="134" t="s">
        <v>1057</v>
      </c>
      <c r="C289" s="176" t="s">
        <v>681</v>
      </c>
      <c r="D289" s="172" t="s">
        <v>610</v>
      </c>
      <c r="E289" s="172">
        <v>1</v>
      </c>
      <c r="F289" s="101"/>
      <c r="G289" s="101">
        <v>14.96</v>
      </c>
      <c r="H289" s="101">
        <v>7.4</v>
      </c>
      <c r="I289" s="278" t="s">
        <v>1085</v>
      </c>
      <c r="J289" s="165">
        <f>TRUNC((G289*H289)-(5*1.12*1.94)-(1.8*2.1),2)</f>
        <v>96.06</v>
      </c>
      <c r="K289" s="223"/>
      <c r="L289" s="170"/>
      <c r="M289" s="170"/>
      <c r="N289" s="170"/>
      <c r="O289" s="170"/>
      <c r="P289" s="170"/>
      <c r="Q289" s="170"/>
      <c r="R289" s="170"/>
      <c r="S289" s="170"/>
      <c r="T289" s="170"/>
      <c r="U289" s="170"/>
      <c r="V289" s="170"/>
      <c r="W289" s="170"/>
      <c r="X289" s="170"/>
      <c r="Y289" s="170"/>
      <c r="Z289" s="170"/>
      <c r="AA289" s="170"/>
      <c r="AB289" s="170"/>
      <c r="AC289" s="170"/>
      <c r="AD289" s="170"/>
      <c r="AE289" s="170"/>
      <c r="AF289" s="170"/>
      <c r="AG289" s="170"/>
      <c r="AH289" s="170"/>
      <c r="AI289" s="170"/>
      <c r="AJ289" s="170"/>
      <c r="AK289" s="170"/>
      <c r="AL289" s="170"/>
      <c r="AM289" s="170"/>
      <c r="AN289" s="170"/>
      <c r="AO289" s="170"/>
      <c r="AP289" s="170"/>
      <c r="AQ289" s="170"/>
      <c r="AR289" s="170"/>
      <c r="AS289" s="170"/>
      <c r="AT289" s="170"/>
      <c r="AU289" s="170"/>
      <c r="AV289" s="170"/>
      <c r="AW289" s="170"/>
      <c r="AX289" s="170"/>
      <c r="AY289" s="170"/>
    </row>
    <row r="290" spans="1:51" s="171" customFormat="1" ht="25.5">
      <c r="A290" s="170"/>
      <c r="B290" s="134" t="s">
        <v>1110</v>
      </c>
      <c r="C290" s="278" t="s">
        <v>683</v>
      </c>
      <c r="D290" s="172" t="s">
        <v>543</v>
      </c>
      <c r="E290" s="172">
        <v>1</v>
      </c>
      <c r="G290" s="101">
        <v>14.96</v>
      </c>
      <c r="H290" s="101">
        <v>7.4</v>
      </c>
      <c r="I290" s="278" t="s">
        <v>1085</v>
      </c>
      <c r="J290" s="165">
        <f>TRUNC((G290*H290)-(5*1.12*1.94)-(1.8*2.1),2)</f>
        <v>96.06</v>
      </c>
      <c r="K290" s="223"/>
      <c r="L290" s="170"/>
      <c r="M290" s="170"/>
      <c r="N290" s="170"/>
      <c r="O290" s="170"/>
      <c r="P290" s="170"/>
      <c r="Q290" s="170"/>
      <c r="R290" s="170"/>
      <c r="S290" s="170"/>
      <c r="T290" s="170"/>
      <c r="U290" s="170"/>
      <c r="V290" s="170"/>
      <c r="W290" s="170"/>
      <c r="X290" s="170"/>
      <c r="Y290" s="170"/>
      <c r="Z290" s="170"/>
      <c r="AA290" s="170"/>
      <c r="AB290" s="170"/>
      <c r="AC290" s="170"/>
      <c r="AD290" s="170"/>
      <c r="AE290" s="170"/>
      <c r="AF290" s="170"/>
      <c r="AG290" s="170"/>
      <c r="AH290" s="170"/>
      <c r="AI290" s="170"/>
      <c r="AJ290" s="170"/>
      <c r="AK290" s="170"/>
      <c r="AL290" s="170"/>
      <c r="AM290" s="170"/>
      <c r="AN290" s="170"/>
      <c r="AO290" s="170"/>
      <c r="AP290" s="170"/>
      <c r="AQ290" s="170"/>
      <c r="AR290" s="170"/>
      <c r="AS290" s="170"/>
      <c r="AT290" s="170"/>
      <c r="AU290" s="170"/>
      <c r="AV290" s="170"/>
      <c r="AW290" s="170"/>
      <c r="AX290" s="170"/>
      <c r="AY290" s="170"/>
    </row>
    <row r="291" spans="1:51" s="171" customFormat="1" ht="15">
      <c r="A291" s="170"/>
      <c r="B291" s="134" t="s">
        <v>1111</v>
      </c>
      <c r="C291" s="176" t="s">
        <v>685</v>
      </c>
      <c r="D291" s="172" t="s">
        <v>543</v>
      </c>
      <c r="E291" s="172">
        <v>1</v>
      </c>
      <c r="F291" s="101"/>
      <c r="G291" s="101">
        <v>14.96</v>
      </c>
      <c r="H291" s="101">
        <v>7.4</v>
      </c>
      <c r="I291" s="278" t="s">
        <v>1086</v>
      </c>
      <c r="J291" s="165">
        <f>G291*H291</f>
        <v>110.70400000000001</v>
      </c>
      <c r="K291" s="223"/>
      <c r="L291" s="170"/>
      <c r="M291" s="170"/>
      <c r="N291" s="170"/>
      <c r="O291" s="170"/>
      <c r="P291" s="170"/>
      <c r="Q291" s="170"/>
      <c r="R291" s="170"/>
      <c r="S291" s="170"/>
      <c r="T291" s="170"/>
      <c r="U291" s="170"/>
      <c r="V291" s="170"/>
      <c r="W291" s="170"/>
      <c r="X291" s="170"/>
      <c r="Y291" s="170"/>
      <c r="Z291" s="170"/>
      <c r="AA291" s="170"/>
      <c r="AB291" s="170"/>
      <c r="AC291" s="170"/>
      <c r="AD291" s="170"/>
      <c r="AE291" s="170"/>
      <c r="AF291" s="170"/>
      <c r="AG291" s="170"/>
      <c r="AH291" s="170"/>
      <c r="AI291" s="170"/>
      <c r="AJ291" s="170"/>
      <c r="AK291" s="170"/>
      <c r="AL291" s="170"/>
      <c r="AM291" s="170"/>
      <c r="AN291" s="170"/>
      <c r="AO291" s="170"/>
      <c r="AP291" s="170"/>
      <c r="AQ291" s="170"/>
      <c r="AR291" s="170"/>
      <c r="AS291" s="170"/>
      <c r="AT291" s="170"/>
      <c r="AU291" s="170"/>
      <c r="AV291" s="170"/>
      <c r="AW291" s="170"/>
      <c r="AX291" s="170"/>
      <c r="AY291" s="170"/>
    </row>
    <row r="292" spans="1:51" ht="15">
      <c r="A292" s="170"/>
      <c r="B292" s="122"/>
      <c r="C292" s="177"/>
      <c r="D292" s="177"/>
      <c r="E292" s="177"/>
      <c r="F292" s="127"/>
      <c r="G292" s="127"/>
      <c r="H292" s="127"/>
      <c r="I292" s="177"/>
      <c r="J292" s="166"/>
      <c r="K292" s="223"/>
      <c r="L292" s="170"/>
      <c r="M292" s="170"/>
      <c r="N292" s="170"/>
      <c r="O292" s="170"/>
      <c r="P292" s="170"/>
      <c r="Q292" s="170"/>
      <c r="R292" s="170"/>
      <c r="S292" s="170"/>
      <c r="T292" s="170"/>
      <c r="U292" s="170"/>
      <c r="V292" s="170"/>
      <c r="W292" s="170"/>
      <c r="X292" s="170"/>
      <c r="Y292" s="170"/>
      <c r="Z292" s="170"/>
      <c r="AA292" s="170"/>
      <c r="AB292" s="170"/>
      <c r="AC292" s="170"/>
      <c r="AD292" s="170"/>
      <c r="AE292" s="170"/>
      <c r="AF292" s="170"/>
      <c r="AG292" s="170"/>
      <c r="AH292" s="170"/>
      <c r="AI292" s="170"/>
      <c r="AJ292" s="170"/>
      <c r="AK292" s="170"/>
      <c r="AL292" s="170"/>
      <c r="AM292" s="170"/>
      <c r="AN292" s="170"/>
      <c r="AO292" s="170"/>
      <c r="AP292" s="170"/>
      <c r="AQ292" s="170"/>
      <c r="AR292" s="170"/>
      <c r="AS292" s="170"/>
      <c r="AT292" s="170"/>
      <c r="AU292" s="170"/>
      <c r="AV292" s="170"/>
      <c r="AW292" s="170"/>
      <c r="AX292" s="170"/>
      <c r="AY292" s="170"/>
    </row>
    <row r="293" spans="1:51" ht="15">
      <c r="A293" s="170"/>
      <c r="B293" s="118">
        <v>11</v>
      </c>
      <c r="C293" s="71" t="s">
        <v>686</v>
      </c>
      <c r="D293" s="71"/>
      <c r="E293" s="71"/>
      <c r="F293" s="107"/>
      <c r="G293" s="107"/>
      <c r="H293" s="107"/>
      <c r="I293" s="71"/>
      <c r="J293" s="130"/>
      <c r="K293" s="223"/>
      <c r="L293" s="170"/>
      <c r="M293" s="170"/>
      <c r="N293" s="170"/>
      <c r="O293" s="170"/>
      <c r="P293" s="170"/>
      <c r="Q293" s="170"/>
      <c r="R293" s="170"/>
      <c r="S293" s="170"/>
      <c r="T293" s="170"/>
      <c r="U293" s="170"/>
      <c r="V293" s="170"/>
      <c r="W293" s="170"/>
      <c r="X293" s="170"/>
      <c r="Y293" s="170"/>
      <c r="Z293" s="170"/>
      <c r="AA293" s="170"/>
      <c r="AB293" s="170"/>
      <c r="AC293" s="170"/>
      <c r="AD293" s="170"/>
      <c r="AE293" s="170"/>
      <c r="AF293" s="170"/>
      <c r="AG293" s="170"/>
      <c r="AH293" s="170"/>
      <c r="AI293" s="170"/>
      <c r="AJ293" s="170"/>
      <c r="AK293" s="170"/>
      <c r="AL293" s="170"/>
      <c r="AM293" s="170"/>
      <c r="AN293" s="170"/>
      <c r="AO293" s="170"/>
      <c r="AP293" s="170"/>
      <c r="AQ293" s="170"/>
      <c r="AR293" s="170"/>
      <c r="AS293" s="170"/>
      <c r="AT293" s="170"/>
      <c r="AU293" s="170"/>
      <c r="AV293" s="170"/>
      <c r="AW293" s="170"/>
      <c r="AX293" s="170"/>
      <c r="AY293" s="170"/>
    </row>
    <row r="294" spans="1:51" ht="15">
      <c r="A294" s="170"/>
      <c r="B294" s="125" t="s">
        <v>687</v>
      </c>
      <c r="C294" s="173" t="s">
        <v>688</v>
      </c>
      <c r="D294" s="173"/>
      <c r="E294" s="173"/>
      <c r="F294" s="108"/>
      <c r="G294" s="108"/>
      <c r="H294" s="108"/>
      <c r="I294" s="72"/>
      <c r="J294" s="128"/>
      <c r="K294" s="223"/>
      <c r="L294" s="170"/>
      <c r="M294" s="170"/>
      <c r="N294" s="170"/>
      <c r="O294" s="170"/>
      <c r="P294" s="170"/>
      <c r="Q294" s="170"/>
      <c r="R294" s="170"/>
      <c r="S294" s="170"/>
      <c r="T294" s="170"/>
      <c r="U294" s="170"/>
      <c r="V294" s="170"/>
      <c r="W294" s="170"/>
      <c r="X294" s="170"/>
      <c r="Y294" s="170"/>
      <c r="Z294" s="170"/>
      <c r="AA294" s="170"/>
      <c r="AB294" s="170"/>
      <c r="AC294" s="170"/>
      <c r="AD294" s="170"/>
      <c r="AE294" s="170"/>
      <c r="AF294" s="170"/>
      <c r="AG294" s="170"/>
      <c r="AH294" s="170"/>
      <c r="AI294" s="170"/>
      <c r="AJ294" s="170"/>
      <c r="AK294" s="170"/>
      <c r="AL294" s="170"/>
      <c r="AM294" s="170"/>
      <c r="AN294" s="170"/>
      <c r="AO294" s="170"/>
      <c r="AP294" s="170"/>
      <c r="AQ294" s="170"/>
      <c r="AR294" s="170"/>
      <c r="AS294" s="170"/>
      <c r="AT294" s="170"/>
      <c r="AU294" s="170"/>
      <c r="AV294" s="170"/>
      <c r="AW294" s="170"/>
      <c r="AX294" s="170"/>
      <c r="AY294" s="170"/>
    </row>
    <row r="295" spans="1:51" ht="25.5">
      <c r="A295" s="170"/>
      <c r="B295" s="175" t="s">
        <v>691</v>
      </c>
      <c r="C295" s="278" t="s">
        <v>692</v>
      </c>
      <c r="D295" s="172" t="s">
        <v>689</v>
      </c>
      <c r="E295" s="172"/>
      <c r="F295" s="101"/>
      <c r="G295" s="101"/>
      <c r="H295" s="101"/>
      <c r="I295" s="176" t="s">
        <v>690</v>
      </c>
      <c r="J295" s="163">
        <f>J296+J302</f>
        <v>374.15829999999994</v>
      </c>
      <c r="K295" s="223"/>
      <c r="L295" s="170"/>
      <c r="M295" s="170"/>
      <c r="N295" s="170"/>
      <c r="O295" s="170"/>
      <c r="P295" s="170"/>
      <c r="Q295" s="170"/>
      <c r="R295" s="170"/>
      <c r="S295" s="170"/>
      <c r="T295" s="170"/>
      <c r="U295" s="170"/>
      <c r="V295" s="170"/>
      <c r="W295" s="170"/>
      <c r="X295" s="170"/>
      <c r="Y295" s="170"/>
      <c r="Z295" s="170"/>
      <c r="AA295" s="170"/>
      <c r="AB295" s="170"/>
      <c r="AC295" s="170"/>
      <c r="AD295" s="170"/>
      <c r="AE295" s="170"/>
      <c r="AF295" s="170"/>
      <c r="AG295" s="170"/>
      <c r="AH295" s="170"/>
      <c r="AI295" s="170"/>
      <c r="AJ295" s="170"/>
      <c r="AK295" s="170"/>
      <c r="AL295" s="170"/>
      <c r="AM295" s="170"/>
      <c r="AN295" s="170"/>
      <c r="AO295" s="170"/>
      <c r="AP295" s="170"/>
      <c r="AQ295" s="170"/>
      <c r="AR295" s="170"/>
      <c r="AS295" s="170"/>
      <c r="AT295" s="170"/>
      <c r="AU295" s="170"/>
      <c r="AV295" s="170"/>
      <c r="AW295" s="170"/>
      <c r="AX295" s="170"/>
      <c r="AY295" s="170"/>
    </row>
    <row r="296" spans="1:51" ht="15">
      <c r="A296" s="170"/>
      <c r="B296" s="175" t="s">
        <v>693</v>
      </c>
      <c r="C296" s="176" t="s">
        <v>694</v>
      </c>
      <c r="D296" s="172" t="s">
        <v>543</v>
      </c>
      <c r="E296" s="172"/>
      <c r="F296" s="101"/>
      <c r="G296" s="101"/>
      <c r="H296" s="101"/>
      <c r="I296" s="176"/>
      <c r="J296" s="163">
        <f>SUM(J297:J300)</f>
        <v>40.256899999999995</v>
      </c>
      <c r="K296" s="223"/>
      <c r="L296" s="170"/>
      <c r="M296" s="170"/>
      <c r="N296" s="170"/>
      <c r="O296" s="170"/>
      <c r="P296" s="170"/>
      <c r="Q296" s="170"/>
      <c r="R296" s="170"/>
      <c r="S296" s="170"/>
      <c r="T296" s="170"/>
      <c r="U296" s="170"/>
      <c r="V296" s="170"/>
      <c r="W296" s="170"/>
      <c r="X296" s="170"/>
      <c r="Y296" s="170"/>
      <c r="Z296" s="170"/>
      <c r="AA296" s="170"/>
      <c r="AB296" s="170"/>
      <c r="AC296" s="170"/>
      <c r="AD296" s="170"/>
      <c r="AE296" s="170"/>
      <c r="AF296" s="170"/>
      <c r="AG296" s="170"/>
      <c r="AH296" s="170"/>
      <c r="AI296" s="170"/>
      <c r="AJ296" s="170"/>
      <c r="AK296" s="170"/>
      <c r="AL296" s="170"/>
      <c r="AM296" s="170"/>
      <c r="AN296" s="170"/>
      <c r="AO296" s="170"/>
      <c r="AP296" s="170"/>
      <c r="AQ296" s="170"/>
      <c r="AR296" s="170"/>
      <c r="AS296" s="170"/>
      <c r="AT296" s="170"/>
      <c r="AU296" s="170"/>
      <c r="AV296" s="170"/>
      <c r="AW296" s="170"/>
      <c r="AX296" s="170"/>
      <c r="AY296" s="170"/>
    </row>
    <row r="297" spans="1:51" s="171" customFormat="1" ht="15">
      <c r="A297" s="170"/>
      <c r="B297" s="175"/>
      <c r="C297" s="179" t="s">
        <v>670</v>
      </c>
      <c r="D297" s="172" t="s">
        <v>543</v>
      </c>
      <c r="E297" s="172">
        <v>1</v>
      </c>
      <c r="F297" s="101">
        <v>5.08</v>
      </c>
      <c r="G297" s="101">
        <v>3.25</v>
      </c>
      <c r="H297" s="101"/>
      <c r="I297" s="176"/>
      <c r="J297" s="163">
        <f>F297*G297</f>
        <v>16.510000000000002</v>
      </c>
      <c r="K297" s="223"/>
      <c r="L297" s="170"/>
      <c r="M297" s="170"/>
      <c r="N297" s="170"/>
      <c r="O297" s="170"/>
      <c r="P297" s="170"/>
      <c r="Q297" s="170"/>
      <c r="R297" s="170"/>
      <c r="S297" s="170"/>
      <c r="T297" s="170"/>
      <c r="U297" s="170"/>
      <c r="V297" s="170"/>
      <c r="W297" s="170"/>
      <c r="X297" s="170"/>
      <c r="Y297" s="170"/>
      <c r="Z297" s="170"/>
      <c r="AA297" s="170"/>
      <c r="AB297" s="170"/>
      <c r="AC297" s="170"/>
      <c r="AD297" s="170"/>
      <c r="AE297" s="170"/>
      <c r="AF297" s="170"/>
      <c r="AG297" s="170"/>
      <c r="AH297" s="170"/>
      <c r="AI297" s="170"/>
      <c r="AJ297" s="170"/>
      <c r="AK297" s="170"/>
      <c r="AL297" s="170"/>
      <c r="AM297" s="170"/>
      <c r="AN297" s="170"/>
      <c r="AO297" s="170"/>
      <c r="AP297" s="170"/>
      <c r="AQ297" s="170"/>
      <c r="AR297" s="170"/>
      <c r="AS297" s="170"/>
      <c r="AT297" s="170"/>
      <c r="AU297" s="170"/>
      <c r="AV297" s="170"/>
      <c r="AW297" s="170"/>
      <c r="AX297" s="170"/>
      <c r="AY297" s="170"/>
    </row>
    <row r="298" spans="1:51" s="171" customFormat="1" ht="15">
      <c r="A298" s="170"/>
      <c r="B298" s="175"/>
      <c r="C298" s="179" t="s">
        <v>671</v>
      </c>
      <c r="D298" s="172" t="s">
        <v>543</v>
      </c>
      <c r="E298" s="172">
        <v>1</v>
      </c>
      <c r="F298" s="101">
        <v>5.08</v>
      </c>
      <c r="G298" s="101">
        <v>2.5299999999999998</v>
      </c>
      <c r="H298" s="101"/>
      <c r="I298" s="176"/>
      <c r="J298" s="163">
        <f>F298*G298</f>
        <v>12.852399999999999</v>
      </c>
      <c r="K298" s="223"/>
      <c r="L298" s="170"/>
      <c r="M298" s="170"/>
      <c r="N298" s="170"/>
      <c r="O298" s="170"/>
      <c r="P298" s="170"/>
      <c r="Q298" s="170"/>
      <c r="R298" s="170"/>
      <c r="S298" s="170"/>
      <c r="T298" s="170"/>
      <c r="U298" s="170"/>
      <c r="V298" s="170"/>
      <c r="W298" s="170"/>
      <c r="X298" s="170"/>
      <c r="Y298" s="170"/>
      <c r="Z298" s="170"/>
      <c r="AA298" s="170"/>
      <c r="AB298" s="170"/>
      <c r="AC298" s="170"/>
      <c r="AD298" s="170"/>
      <c r="AE298" s="170"/>
      <c r="AF298" s="170"/>
      <c r="AG298" s="170"/>
      <c r="AH298" s="170"/>
      <c r="AI298" s="170"/>
      <c r="AJ298" s="170"/>
      <c r="AK298" s="170"/>
      <c r="AL298" s="170"/>
      <c r="AM298" s="170"/>
      <c r="AN298" s="170"/>
      <c r="AO298" s="170"/>
      <c r="AP298" s="170"/>
      <c r="AQ298" s="170"/>
      <c r="AR298" s="170"/>
      <c r="AS298" s="170"/>
      <c r="AT298" s="170"/>
      <c r="AU298" s="170"/>
      <c r="AV298" s="170"/>
      <c r="AW298" s="170"/>
      <c r="AX298" s="170"/>
      <c r="AY298" s="170"/>
    </row>
    <row r="299" spans="1:51" s="171" customFormat="1" ht="15">
      <c r="A299" s="170"/>
      <c r="B299" s="175"/>
      <c r="C299" s="179" t="s">
        <v>673</v>
      </c>
      <c r="D299" s="172" t="s">
        <v>543</v>
      </c>
      <c r="E299" s="172">
        <v>1</v>
      </c>
      <c r="F299" s="101">
        <v>2.69</v>
      </c>
      <c r="G299" s="101">
        <v>2.0299999999999998</v>
      </c>
      <c r="H299" s="101"/>
      <c r="I299" s="176"/>
      <c r="J299" s="163">
        <f t="shared" ref="J299:J300" si="28">F299*G299</f>
        <v>5.4606999999999992</v>
      </c>
      <c r="K299" s="223"/>
      <c r="L299" s="170"/>
      <c r="M299" s="170"/>
      <c r="N299" s="170"/>
      <c r="O299" s="170"/>
      <c r="P299" s="170"/>
      <c r="Q299" s="170"/>
      <c r="R299" s="170"/>
      <c r="S299" s="170"/>
      <c r="T299" s="170"/>
      <c r="U299" s="170"/>
      <c r="V299" s="170"/>
      <c r="W299" s="170"/>
      <c r="X299" s="170"/>
      <c r="Y299" s="170"/>
      <c r="Z299" s="170"/>
      <c r="AA299" s="170"/>
      <c r="AB299" s="170"/>
      <c r="AC299" s="170"/>
      <c r="AD299" s="170"/>
      <c r="AE299" s="170"/>
      <c r="AF299" s="170"/>
      <c r="AG299" s="170"/>
      <c r="AH299" s="170"/>
      <c r="AI299" s="170"/>
      <c r="AJ299" s="170"/>
      <c r="AK299" s="170"/>
      <c r="AL299" s="170"/>
      <c r="AM299" s="170"/>
      <c r="AN299" s="170"/>
      <c r="AO299" s="170"/>
      <c r="AP299" s="170"/>
      <c r="AQ299" s="170"/>
      <c r="AR299" s="170"/>
      <c r="AS299" s="170"/>
      <c r="AT299" s="170"/>
      <c r="AU299" s="170"/>
      <c r="AV299" s="170"/>
      <c r="AW299" s="170"/>
      <c r="AX299" s="170"/>
      <c r="AY299" s="170"/>
    </row>
    <row r="300" spans="1:51" s="171" customFormat="1" ht="15">
      <c r="A300" s="170"/>
      <c r="B300" s="175"/>
      <c r="C300" s="179" t="s">
        <v>673</v>
      </c>
      <c r="D300" s="172" t="s">
        <v>543</v>
      </c>
      <c r="E300" s="172">
        <v>1</v>
      </c>
      <c r="F300" s="101">
        <v>2.69</v>
      </c>
      <c r="G300" s="101">
        <v>2.02</v>
      </c>
      <c r="H300" s="101"/>
      <c r="I300" s="176"/>
      <c r="J300" s="163">
        <f t="shared" si="28"/>
        <v>5.4337999999999997</v>
      </c>
      <c r="K300" s="223"/>
      <c r="L300" s="170"/>
      <c r="M300" s="170"/>
      <c r="N300" s="170"/>
      <c r="O300" s="170"/>
      <c r="P300" s="170"/>
      <c r="Q300" s="170"/>
      <c r="R300" s="170"/>
      <c r="S300" s="170"/>
      <c r="T300" s="170"/>
      <c r="U300" s="170"/>
      <c r="V300" s="170"/>
      <c r="W300" s="170"/>
      <c r="X300" s="170"/>
      <c r="Y300" s="170"/>
      <c r="Z300" s="170"/>
      <c r="AA300" s="170"/>
      <c r="AB300" s="170"/>
      <c r="AC300" s="170"/>
      <c r="AD300" s="170"/>
      <c r="AE300" s="170"/>
      <c r="AF300" s="170"/>
      <c r="AG300" s="170"/>
      <c r="AH300" s="170"/>
      <c r="AI300" s="170"/>
      <c r="AJ300" s="170"/>
      <c r="AK300" s="170"/>
      <c r="AL300" s="170"/>
      <c r="AM300" s="170"/>
      <c r="AN300" s="170"/>
      <c r="AO300" s="170"/>
      <c r="AP300" s="170"/>
      <c r="AQ300" s="170"/>
      <c r="AR300" s="170"/>
      <c r="AS300" s="170"/>
      <c r="AT300" s="170"/>
      <c r="AU300" s="170"/>
      <c r="AV300" s="170"/>
      <c r="AW300" s="170"/>
      <c r="AX300" s="170"/>
      <c r="AY300" s="170"/>
    </row>
    <row r="301" spans="1:51" s="171" customFormat="1" ht="15">
      <c r="A301" s="170"/>
      <c r="B301" s="175"/>
      <c r="C301" s="179"/>
      <c r="D301" s="172"/>
      <c r="E301" s="172"/>
      <c r="F301" s="101"/>
      <c r="G301" s="101"/>
      <c r="H301" s="101"/>
      <c r="I301" s="176"/>
      <c r="J301" s="163"/>
      <c r="K301" s="223"/>
      <c r="L301" s="170"/>
      <c r="M301" s="170"/>
      <c r="N301" s="170"/>
      <c r="O301" s="170"/>
      <c r="P301" s="170"/>
      <c r="Q301" s="170"/>
      <c r="R301" s="170"/>
      <c r="S301" s="170"/>
      <c r="T301" s="170"/>
      <c r="U301" s="170"/>
      <c r="V301" s="170"/>
      <c r="W301" s="170"/>
      <c r="X301" s="170"/>
      <c r="Y301" s="170"/>
      <c r="Z301" s="170"/>
      <c r="AA301" s="170"/>
      <c r="AB301" s="170"/>
      <c r="AC301" s="170"/>
      <c r="AD301" s="170"/>
      <c r="AE301" s="170"/>
      <c r="AF301" s="170"/>
      <c r="AG301" s="170"/>
      <c r="AH301" s="170"/>
      <c r="AI301" s="170"/>
      <c r="AJ301" s="170"/>
      <c r="AK301" s="170"/>
      <c r="AL301" s="170"/>
      <c r="AM301" s="170"/>
      <c r="AN301" s="170"/>
      <c r="AO301" s="170"/>
      <c r="AP301" s="170"/>
      <c r="AQ301" s="170"/>
      <c r="AR301" s="170"/>
      <c r="AS301" s="170"/>
      <c r="AT301" s="170"/>
      <c r="AU301" s="170"/>
      <c r="AV301" s="170"/>
      <c r="AW301" s="170"/>
      <c r="AX301" s="170"/>
      <c r="AY301" s="170"/>
    </row>
    <row r="302" spans="1:51" ht="15">
      <c r="A302" s="170"/>
      <c r="B302" s="175" t="s">
        <v>695</v>
      </c>
      <c r="C302" s="176" t="s">
        <v>696</v>
      </c>
      <c r="D302" s="172" t="s">
        <v>543</v>
      </c>
      <c r="E302" s="172"/>
      <c r="F302" s="101"/>
      <c r="G302" s="101"/>
      <c r="H302" s="101"/>
      <c r="I302" s="176"/>
      <c r="J302" s="163">
        <f>SUM(J303:J319)</f>
        <v>333.90139999999997</v>
      </c>
      <c r="K302" s="223"/>
      <c r="L302" s="170"/>
      <c r="M302" s="170"/>
      <c r="N302" s="170"/>
      <c r="O302" s="170"/>
      <c r="P302" s="170"/>
      <c r="Q302" s="170"/>
      <c r="R302" s="170"/>
      <c r="S302" s="170"/>
      <c r="T302" s="170"/>
      <c r="U302" s="170"/>
      <c r="V302" s="170"/>
      <c r="W302" s="170"/>
      <c r="X302" s="170"/>
      <c r="Y302" s="170"/>
      <c r="Z302" s="170"/>
      <c r="AA302" s="170"/>
      <c r="AB302" s="170"/>
      <c r="AC302" s="170"/>
      <c r="AD302" s="170"/>
      <c r="AE302" s="170"/>
      <c r="AF302" s="170"/>
      <c r="AG302" s="170"/>
      <c r="AH302" s="170"/>
      <c r="AI302" s="170"/>
      <c r="AJ302" s="170"/>
      <c r="AK302" s="170"/>
      <c r="AL302" s="170"/>
      <c r="AM302" s="170"/>
      <c r="AN302" s="170"/>
      <c r="AO302" s="170"/>
      <c r="AP302" s="170"/>
      <c r="AQ302" s="170"/>
      <c r="AR302" s="170"/>
      <c r="AS302" s="170"/>
      <c r="AT302" s="170"/>
      <c r="AU302" s="170"/>
      <c r="AV302" s="170"/>
      <c r="AW302" s="170"/>
      <c r="AX302" s="170"/>
      <c r="AY302" s="170"/>
    </row>
    <row r="303" spans="1:51" s="171" customFormat="1" ht="15">
      <c r="A303" s="170"/>
      <c r="B303" s="175"/>
      <c r="C303" s="179" t="s">
        <v>667</v>
      </c>
      <c r="D303" s="172" t="s">
        <v>543</v>
      </c>
      <c r="E303" s="172">
        <v>1</v>
      </c>
      <c r="F303" s="101">
        <v>3.77</v>
      </c>
      <c r="G303" s="101">
        <v>3.25</v>
      </c>
      <c r="H303" s="101"/>
      <c r="I303" s="176"/>
      <c r="J303" s="163">
        <f>F303*G303</f>
        <v>12.2525</v>
      </c>
      <c r="K303" s="223"/>
      <c r="L303" s="170"/>
      <c r="M303" s="170"/>
      <c r="N303" s="170"/>
      <c r="O303" s="170"/>
      <c r="P303" s="170"/>
      <c r="Q303" s="170"/>
      <c r="R303" s="170"/>
      <c r="S303" s="170"/>
      <c r="T303" s="170"/>
      <c r="U303" s="170"/>
      <c r="V303" s="170"/>
      <c r="W303" s="170"/>
      <c r="X303" s="170"/>
      <c r="Y303" s="170"/>
      <c r="Z303" s="170"/>
      <c r="AA303" s="170"/>
      <c r="AB303" s="170"/>
      <c r="AC303" s="170"/>
      <c r="AD303" s="170"/>
      <c r="AE303" s="170"/>
      <c r="AF303" s="170"/>
      <c r="AG303" s="170"/>
      <c r="AH303" s="170"/>
      <c r="AI303" s="170"/>
      <c r="AJ303" s="170"/>
      <c r="AK303" s="170"/>
      <c r="AL303" s="170"/>
      <c r="AM303" s="170"/>
      <c r="AN303" s="170"/>
      <c r="AO303" s="170"/>
      <c r="AP303" s="170"/>
      <c r="AQ303" s="170"/>
      <c r="AR303" s="170"/>
      <c r="AS303" s="170"/>
      <c r="AT303" s="170"/>
      <c r="AU303" s="170"/>
      <c r="AV303" s="170"/>
      <c r="AW303" s="170"/>
      <c r="AX303" s="170"/>
      <c r="AY303" s="170"/>
    </row>
    <row r="304" spans="1:51" s="171" customFormat="1" ht="15">
      <c r="A304" s="170"/>
      <c r="B304" s="175"/>
      <c r="C304" s="179" t="s">
        <v>668</v>
      </c>
      <c r="D304" s="172" t="s">
        <v>543</v>
      </c>
      <c r="E304" s="172">
        <v>1</v>
      </c>
      <c r="F304" s="101">
        <v>3.44</v>
      </c>
      <c r="G304" s="101">
        <v>3.25</v>
      </c>
      <c r="H304" s="101"/>
      <c r="I304" s="176"/>
      <c r="J304" s="163">
        <f t="shared" ref="J304:J319" si="29">F304*G304</f>
        <v>11.18</v>
      </c>
      <c r="K304" s="223"/>
      <c r="L304" s="170"/>
      <c r="M304" s="170"/>
      <c r="N304" s="170"/>
      <c r="O304" s="170"/>
      <c r="P304" s="170"/>
      <c r="Q304" s="170"/>
      <c r="R304" s="170"/>
      <c r="S304" s="170"/>
      <c r="T304" s="170"/>
      <c r="U304" s="170"/>
      <c r="V304" s="170"/>
      <c r="W304" s="170"/>
      <c r="X304" s="170"/>
      <c r="Y304" s="170"/>
      <c r="Z304" s="170"/>
      <c r="AA304" s="170"/>
      <c r="AB304" s="170"/>
      <c r="AC304" s="170"/>
      <c r="AD304" s="170"/>
      <c r="AE304" s="170"/>
      <c r="AF304" s="170"/>
      <c r="AG304" s="170"/>
      <c r="AH304" s="170"/>
      <c r="AI304" s="170"/>
      <c r="AJ304" s="170"/>
      <c r="AK304" s="170"/>
      <c r="AL304" s="170"/>
      <c r="AM304" s="170"/>
      <c r="AN304" s="170"/>
      <c r="AO304" s="170"/>
      <c r="AP304" s="170"/>
      <c r="AQ304" s="170"/>
      <c r="AR304" s="170"/>
      <c r="AS304" s="170"/>
      <c r="AT304" s="170"/>
      <c r="AU304" s="170"/>
      <c r="AV304" s="170"/>
      <c r="AW304" s="170"/>
      <c r="AX304" s="170"/>
      <c r="AY304" s="170"/>
    </row>
    <row r="305" spans="1:51" s="171" customFormat="1" ht="15">
      <c r="A305" s="170"/>
      <c r="B305" s="175"/>
      <c r="C305" s="179" t="s">
        <v>669</v>
      </c>
      <c r="D305" s="172" t="s">
        <v>543</v>
      </c>
      <c r="E305" s="172">
        <v>1</v>
      </c>
      <c r="F305" s="101">
        <v>4.22</v>
      </c>
      <c r="G305" s="101">
        <v>3.25</v>
      </c>
      <c r="H305" s="101"/>
      <c r="I305" s="176"/>
      <c r="J305" s="163">
        <f t="shared" si="29"/>
        <v>13.715</v>
      </c>
      <c r="K305" s="223"/>
      <c r="L305" s="170"/>
      <c r="M305" s="170"/>
      <c r="N305" s="170"/>
      <c r="O305" s="170"/>
      <c r="P305" s="170"/>
      <c r="Q305" s="170"/>
      <c r="R305" s="170"/>
      <c r="S305" s="170"/>
      <c r="T305" s="170"/>
      <c r="U305" s="170"/>
      <c r="V305" s="170"/>
      <c r="W305" s="170"/>
      <c r="X305" s="170"/>
      <c r="Y305" s="170"/>
      <c r="Z305" s="170"/>
      <c r="AA305" s="170"/>
      <c r="AB305" s="170"/>
      <c r="AC305" s="170"/>
      <c r="AD305" s="170"/>
      <c r="AE305" s="170"/>
      <c r="AF305" s="170"/>
      <c r="AG305" s="170"/>
      <c r="AH305" s="170"/>
      <c r="AI305" s="170"/>
      <c r="AJ305" s="170"/>
      <c r="AK305" s="170"/>
      <c r="AL305" s="170"/>
      <c r="AM305" s="170"/>
      <c r="AN305" s="170"/>
      <c r="AO305" s="170"/>
      <c r="AP305" s="170"/>
      <c r="AQ305" s="170"/>
      <c r="AR305" s="170"/>
      <c r="AS305" s="170"/>
      <c r="AT305" s="170"/>
      <c r="AU305" s="170"/>
      <c r="AV305" s="170"/>
      <c r="AW305" s="170"/>
      <c r="AX305" s="170"/>
      <c r="AY305" s="170"/>
    </row>
    <row r="306" spans="1:51" s="171" customFormat="1" ht="15">
      <c r="A306" s="170"/>
      <c r="B306" s="175"/>
      <c r="C306" s="179" t="s">
        <v>672</v>
      </c>
      <c r="D306" s="172" t="s">
        <v>543</v>
      </c>
      <c r="E306" s="172">
        <v>1</v>
      </c>
      <c r="F306" s="101">
        <v>5.07</v>
      </c>
      <c r="G306" s="101">
        <v>3.13</v>
      </c>
      <c r="H306" s="101"/>
      <c r="I306" s="176"/>
      <c r="J306" s="163">
        <f t="shared" si="29"/>
        <v>15.8691</v>
      </c>
      <c r="K306" s="223"/>
      <c r="L306" s="170"/>
      <c r="M306" s="170"/>
      <c r="N306" s="170"/>
      <c r="O306" s="170"/>
      <c r="P306" s="170"/>
      <c r="Q306" s="170"/>
      <c r="R306" s="170"/>
      <c r="S306" s="170"/>
      <c r="T306" s="170"/>
      <c r="U306" s="170"/>
      <c r="V306" s="170"/>
      <c r="W306" s="170"/>
      <c r="X306" s="170"/>
      <c r="Y306" s="170"/>
      <c r="Z306" s="170"/>
      <c r="AA306" s="170"/>
      <c r="AB306" s="170"/>
      <c r="AC306" s="170"/>
      <c r="AD306" s="170"/>
      <c r="AE306" s="170"/>
      <c r="AF306" s="170"/>
      <c r="AG306" s="170"/>
      <c r="AH306" s="170"/>
      <c r="AI306" s="170"/>
      <c r="AJ306" s="170"/>
      <c r="AK306" s="170"/>
      <c r="AL306" s="170"/>
      <c r="AM306" s="170"/>
      <c r="AN306" s="170"/>
      <c r="AO306" s="170"/>
      <c r="AP306" s="170"/>
      <c r="AQ306" s="170"/>
      <c r="AR306" s="170"/>
      <c r="AS306" s="170"/>
      <c r="AT306" s="170"/>
      <c r="AU306" s="170"/>
      <c r="AV306" s="170"/>
      <c r="AW306" s="170"/>
      <c r="AX306" s="170"/>
      <c r="AY306" s="170"/>
    </row>
    <row r="307" spans="1:51" s="171" customFormat="1" ht="15">
      <c r="A307" s="170"/>
      <c r="B307" s="175"/>
      <c r="C307" s="179" t="s">
        <v>674</v>
      </c>
      <c r="D307" s="172" t="s">
        <v>543</v>
      </c>
      <c r="E307" s="172">
        <v>1</v>
      </c>
      <c r="F307" s="101">
        <v>10</v>
      </c>
      <c r="G307" s="101">
        <v>6.76</v>
      </c>
      <c r="H307" s="101"/>
      <c r="I307" s="176"/>
      <c r="J307" s="163">
        <f t="shared" si="29"/>
        <v>67.599999999999994</v>
      </c>
      <c r="K307" s="223"/>
      <c r="L307" s="170"/>
      <c r="M307" s="170"/>
      <c r="N307" s="170"/>
      <c r="O307" s="170"/>
      <c r="P307" s="170"/>
      <c r="Q307" s="170"/>
      <c r="R307" s="170"/>
      <c r="S307" s="170"/>
      <c r="T307" s="170"/>
      <c r="U307" s="170"/>
      <c r="V307" s="170"/>
      <c r="W307" s="170"/>
      <c r="X307" s="170"/>
      <c r="Y307" s="170"/>
      <c r="Z307" s="170"/>
      <c r="AA307" s="170"/>
      <c r="AB307" s="170"/>
      <c r="AC307" s="170"/>
      <c r="AD307" s="170"/>
      <c r="AE307" s="170"/>
      <c r="AF307" s="170"/>
      <c r="AG307" s="170"/>
      <c r="AH307" s="170"/>
      <c r="AI307" s="170"/>
      <c r="AJ307" s="170"/>
      <c r="AK307" s="170"/>
      <c r="AL307" s="170"/>
      <c r="AM307" s="170"/>
      <c r="AN307" s="170"/>
      <c r="AO307" s="170"/>
      <c r="AP307" s="170"/>
      <c r="AQ307" s="170"/>
      <c r="AR307" s="170"/>
      <c r="AS307" s="170"/>
      <c r="AT307" s="170"/>
      <c r="AU307" s="170"/>
      <c r="AV307" s="170"/>
      <c r="AW307" s="170"/>
      <c r="AX307" s="170"/>
      <c r="AY307" s="170"/>
    </row>
    <row r="308" spans="1:51" s="171" customFormat="1" ht="15">
      <c r="A308" s="170"/>
      <c r="B308" s="175"/>
      <c r="C308" s="179" t="s">
        <v>675</v>
      </c>
      <c r="D308" s="172" t="s">
        <v>543</v>
      </c>
      <c r="E308" s="172">
        <v>1</v>
      </c>
      <c r="F308" s="101">
        <v>3.3</v>
      </c>
      <c r="G308" s="101">
        <v>3.9</v>
      </c>
      <c r="H308" s="101"/>
      <c r="I308" s="176"/>
      <c r="J308" s="163">
        <f t="shared" si="29"/>
        <v>12.87</v>
      </c>
      <c r="K308" s="223"/>
      <c r="L308" s="170"/>
      <c r="M308" s="170"/>
      <c r="N308" s="170"/>
      <c r="O308" s="170"/>
      <c r="P308" s="170"/>
      <c r="Q308" s="170"/>
      <c r="R308" s="170"/>
      <c r="S308" s="170"/>
      <c r="T308" s="170"/>
      <c r="U308" s="170"/>
      <c r="V308" s="170"/>
      <c r="W308" s="170"/>
      <c r="X308" s="170"/>
      <c r="Y308" s="170"/>
      <c r="Z308" s="170"/>
      <c r="AA308" s="170"/>
      <c r="AB308" s="170"/>
      <c r="AC308" s="170"/>
      <c r="AD308" s="170"/>
      <c r="AE308" s="170"/>
      <c r="AF308" s="170"/>
      <c r="AG308" s="170"/>
      <c r="AH308" s="170"/>
      <c r="AI308" s="170"/>
      <c r="AJ308" s="170"/>
      <c r="AK308" s="170"/>
      <c r="AL308" s="170"/>
      <c r="AM308" s="170"/>
      <c r="AN308" s="170"/>
      <c r="AO308" s="170"/>
      <c r="AP308" s="170"/>
      <c r="AQ308" s="170"/>
      <c r="AR308" s="170"/>
      <c r="AS308" s="170"/>
      <c r="AT308" s="170"/>
      <c r="AU308" s="170"/>
      <c r="AV308" s="170"/>
      <c r="AW308" s="170"/>
      <c r="AX308" s="170"/>
      <c r="AY308" s="170"/>
    </row>
    <row r="309" spans="1:51" s="171" customFormat="1" ht="15">
      <c r="A309" s="170"/>
      <c r="B309" s="175"/>
      <c r="C309" s="179" t="s">
        <v>675</v>
      </c>
      <c r="D309" s="172" t="s">
        <v>543</v>
      </c>
      <c r="E309" s="172">
        <v>1</v>
      </c>
      <c r="F309" s="101">
        <v>3.29</v>
      </c>
      <c r="G309" s="101">
        <v>3.9</v>
      </c>
      <c r="H309" s="101"/>
      <c r="I309" s="176"/>
      <c r="J309" s="163">
        <f t="shared" si="29"/>
        <v>12.831</v>
      </c>
      <c r="K309" s="223"/>
      <c r="L309" s="170"/>
      <c r="M309" s="170"/>
      <c r="N309" s="170"/>
      <c r="O309" s="170"/>
      <c r="P309" s="170"/>
      <c r="Q309" s="170"/>
      <c r="R309" s="170"/>
      <c r="S309" s="170"/>
      <c r="T309" s="170"/>
      <c r="U309" s="170"/>
      <c r="V309" s="170"/>
      <c r="W309" s="170"/>
      <c r="X309" s="170"/>
      <c r="Y309" s="170"/>
      <c r="Z309" s="170"/>
      <c r="AA309" s="170"/>
      <c r="AB309" s="170"/>
      <c r="AC309" s="170"/>
      <c r="AD309" s="170"/>
      <c r="AE309" s="170"/>
      <c r="AF309" s="170"/>
      <c r="AG309" s="170"/>
      <c r="AH309" s="170"/>
      <c r="AI309" s="170"/>
      <c r="AJ309" s="170"/>
      <c r="AK309" s="170"/>
      <c r="AL309" s="170"/>
      <c r="AM309" s="170"/>
      <c r="AN309" s="170"/>
      <c r="AO309" s="170"/>
      <c r="AP309" s="170"/>
      <c r="AQ309" s="170"/>
      <c r="AR309" s="170"/>
      <c r="AS309" s="170"/>
      <c r="AT309" s="170"/>
      <c r="AU309" s="170"/>
      <c r="AV309" s="170"/>
      <c r="AW309" s="170"/>
      <c r="AX309" s="170"/>
      <c r="AY309" s="170"/>
    </row>
    <row r="310" spans="1:51" s="171" customFormat="1" ht="15">
      <c r="A310" s="170"/>
      <c r="B310" s="175"/>
      <c r="C310" s="179" t="s">
        <v>675</v>
      </c>
      <c r="D310" s="172" t="s">
        <v>543</v>
      </c>
      <c r="E310" s="172">
        <v>1</v>
      </c>
      <c r="F310" s="101">
        <v>3.29</v>
      </c>
      <c r="G310" s="101">
        <v>3.9</v>
      </c>
      <c r="H310" s="101"/>
      <c r="I310" s="176"/>
      <c r="J310" s="163">
        <f t="shared" si="29"/>
        <v>12.831</v>
      </c>
      <c r="K310" s="223"/>
      <c r="L310" s="170"/>
      <c r="M310" s="170"/>
      <c r="N310" s="170"/>
      <c r="O310" s="170"/>
      <c r="P310" s="170"/>
      <c r="Q310" s="170"/>
      <c r="R310" s="170"/>
      <c r="S310" s="170"/>
      <c r="T310" s="170"/>
      <c r="U310" s="170"/>
      <c r="V310" s="170"/>
      <c r="W310" s="170"/>
      <c r="X310" s="170"/>
      <c r="Y310" s="170"/>
      <c r="Z310" s="170"/>
      <c r="AA310" s="170"/>
      <c r="AB310" s="170"/>
      <c r="AC310" s="170"/>
      <c r="AD310" s="170"/>
      <c r="AE310" s="170"/>
      <c r="AF310" s="170"/>
      <c r="AG310" s="170"/>
      <c r="AH310" s="170"/>
      <c r="AI310" s="170"/>
      <c r="AJ310" s="170"/>
      <c r="AK310" s="170"/>
      <c r="AL310" s="170"/>
      <c r="AM310" s="170"/>
      <c r="AN310" s="170"/>
      <c r="AO310" s="170"/>
      <c r="AP310" s="170"/>
      <c r="AQ310" s="170"/>
      <c r="AR310" s="170"/>
      <c r="AS310" s="170"/>
      <c r="AT310" s="170"/>
      <c r="AU310" s="170"/>
      <c r="AV310" s="170"/>
      <c r="AW310" s="170"/>
      <c r="AX310" s="170"/>
      <c r="AY310" s="170"/>
    </row>
    <row r="311" spans="1:51" s="171" customFormat="1" ht="15">
      <c r="A311" s="170"/>
      <c r="B311" s="175"/>
      <c r="C311" s="179" t="s">
        <v>675</v>
      </c>
      <c r="D311" s="172" t="s">
        <v>543</v>
      </c>
      <c r="E311" s="172">
        <v>1</v>
      </c>
      <c r="F311" s="101">
        <v>3.3</v>
      </c>
      <c r="G311" s="101">
        <v>3.9</v>
      </c>
      <c r="H311" s="101"/>
      <c r="I311" s="176"/>
      <c r="J311" s="163">
        <f t="shared" si="29"/>
        <v>12.87</v>
      </c>
      <c r="K311" s="223"/>
      <c r="L311" s="170"/>
      <c r="M311" s="170"/>
      <c r="N311" s="170"/>
      <c r="O311" s="170"/>
      <c r="P311" s="170"/>
      <c r="Q311" s="170"/>
      <c r="R311" s="170"/>
      <c r="S311" s="170"/>
      <c r="T311" s="170"/>
      <c r="U311" s="170"/>
      <c r="V311" s="170"/>
      <c r="W311" s="170"/>
      <c r="X311" s="170"/>
      <c r="Y311" s="170"/>
      <c r="Z311" s="170"/>
      <c r="AA311" s="170"/>
      <c r="AB311" s="170"/>
      <c r="AC311" s="170"/>
      <c r="AD311" s="170"/>
      <c r="AE311" s="170"/>
      <c r="AF311" s="170"/>
      <c r="AG311" s="170"/>
      <c r="AH311" s="170"/>
      <c r="AI311" s="170"/>
      <c r="AJ311" s="170"/>
      <c r="AK311" s="170"/>
      <c r="AL311" s="170"/>
      <c r="AM311" s="170"/>
      <c r="AN311" s="170"/>
      <c r="AO311" s="170"/>
      <c r="AP311" s="170"/>
      <c r="AQ311" s="170"/>
      <c r="AR311" s="170"/>
      <c r="AS311" s="170"/>
      <c r="AT311" s="170"/>
      <c r="AU311" s="170"/>
      <c r="AV311" s="170"/>
      <c r="AW311" s="170"/>
      <c r="AX311" s="170"/>
      <c r="AY311" s="170"/>
    </row>
    <row r="312" spans="1:51" s="171" customFormat="1" ht="15">
      <c r="A312" s="170"/>
      <c r="B312" s="175"/>
      <c r="C312" s="179" t="s">
        <v>675</v>
      </c>
      <c r="D312" s="172" t="s">
        <v>543</v>
      </c>
      <c r="E312" s="172">
        <v>1</v>
      </c>
      <c r="F312" s="101">
        <v>3.29</v>
      </c>
      <c r="G312" s="101">
        <v>3.9</v>
      </c>
      <c r="H312" s="101"/>
      <c r="I312" s="176"/>
      <c r="J312" s="163">
        <f t="shared" si="29"/>
        <v>12.831</v>
      </c>
      <c r="K312" s="223"/>
      <c r="L312" s="170"/>
      <c r="M312" s="170"/>
      <c r="N312" s="170"/>
      <c r="O312" s="170"/>
      <c r="P312" s="170"/>
      <c r="Q312" s="170"/>
      <c r="R312" s="170"/>
      <c r="S312" s="170"/>
      <c r="T312" s="170"/>
      <c r="U312" s="170"/>
      <c r="V312" s="170"/>
      <c r="W312" s="170"/>
      <c r="X312" s="170"/>
      <c r="Y312" s="170"/>
      <c r="Z312" s="170"/>
      <c r="AA312" s="170"/>
      <c r="AB312" s="170"/>
      <c r="AC312" s="170"/>
      <c r="AD312" s="170"/>
      <c r="AE312" s="170"/>
      <c r="AF312" s="170"/>
      <c r="AG312" s="170"/>
      <c r="AH312" s="170"/>
      <c r="AI312" s="170"/>
      <c r="AJ312" s="170"/>
      <c r="AK312" s="170"/>
      <c r="AL312" s="170"/>
      <c r="AM312" s="170"/>
      <c r="AN312" s="170"/>
      <c r="AO312" s="170"/>
      <c r="AP312" s="170"/>
      <c r="AQ312" s="170"/>
      <c r="AR312" s="170"/>
      <c r="AS312" s="170"/>
      <c r="AT312" s="170"/>
      <c r="AU312" s="170"/>
      <c r="AV312" s="170"/>
      <c r="AW312" s="170"/>
      <c r="AX312" s="170"/>
      <c r="AY312" s="170"/>
    </row>
    <row r="313" spans="1:51" s="171" customFormat="1" ht="15">
      <c r="A313" s="170"/>
      <c r="B313" s="175"/>
      <c r="C313" s="179" t="s">
        <v>675</v>
      </c>
      <c r="D313" s="172" t="s">
        <v>543</v>
      </c>
      <c r="E313" s="172">
        <v>1</v>
      </c>
      <c r="F313" s="101">
        <v>3.29</v>
      </c>
      <c r="G313" s="101">
        <v>3.9</v>
      </c>
      <c r="H313" s="101"/>
      <c r="I313" s="176"/>
      <c r="J313" s="163">
        <f t="shared" si="29"/>
        <v>12.831</v>
      </c>
      <c r="K313" s="223"/>
      <c r="L313" s="170"/>
      <c r="M313" s="170"/>
      <c r="N313" s="170"/>
      <c r="O313" s="170"/>
      <c r="P313" s="170"/>
      <c r="Q313" s="170"/>
      <c r="R313" s="170"/>
      <c r="S313" s="170"/>
      <c r="T313" s="170"/>
      <c r="U313" s="170"/>
      <c r="V313" s="170"/>
      <c r="W313" s="170"/>
      <c r="X313" s="170"/>
      <c r="Y313" s="170"/>
      <c r="Z313" s="170"/>
      <c r="AA313" s="170"/>
      <c r="AB313" s="170"/>
      <c r="AC313" s="170"/>
      <c r="AD313" s="170"/>
      <c r="AE313" s="170"/>
      <c r="AF313" s="170"/>
      <c r="AG313" s="170"/>
      <c r="AH313" s="170"/>
      <c r="AI313" s="170"/>
      <c r="AJ313" s="170"/>
      <c r="AK313" s="170"/>
      <c r="AL313" s="170"/>
      <c r="AM313" s="170"/>
      <c r="AN313" s="170"/>
      <c r="AO313" s="170"/>
      <c r="AP313" s="170"/>
      <c r="AQ313" s="170"/>
      <c r="AR313" s="170"/>
      <c r="AS313" s="170"/>
      <c r="AT313" s="170"/>
      <c r="AU313" s="170"/>
      <c r="AV313" s="170"/>
      <c r="AW313" s="170"/>
      <c r="AX313" s="170"/>
      <c r="AY313" s="170"/>
    </row>
    <row r="314" spans="1:51" s="171" customFormat="1" ht="15">
      <c r="A314" s="170"/>
      <c r="B314" s="175"/>
      <c r="C314" s="179" t="s">
        <v>676</v>
      </c>
      <c r="D314" s="172" t="s">
        <v>543</v>
      </c>
      <c r="E314" s="172">
        <v>1</v>
      </c>
      <c r="F314" s="101">
        <v>6.63</v>
      </c>
      <c r="G314" s="101">
        <v>6</v>
      </c>
      <c r="H314" s="101"/>
      <c r="I314" s="176"/>
      <c r="J314" s="163">
        <f t="shared" si="29"/>
        <v>39.78</v>
      </c>
      <c r="K314" s="223"/>
      <c r="L314" s="170"/>
      <c r="M314" s="170"/>
      <c r="N314" s="170"/>
      <c r="O314" s="170"/>
      <c r="P314" s="170"/>
      <c r="Q314" s="170"/>
      <c r="R314" s="170"/>
      <c r="S314" s="170"/>
      <c r="T314" s="170"/>
      <c r="U314" s="170"/>
      <c r="V314" s="170"/>
      <c r="W314" s="170"/>
      <c r="X314" s="170"/>
      <c r="Y314" s="170"/>
      <c r="Z314" s="170"/>
      <c r="AA314" s="170"/>
      <c r="AB314" s="170"/>
      <c r="AC314" s="170"/>
      <c r="AD314" s="170"/>
      <c r="AE314" s="170"/>
      <c r="AF314" s="170"/>
      <c r="AG314" s="170"/>
      <c r="AH314" s="170"/>
      <c r="AI314" s="170"/>
      <c r="AJ314" s="170"/>
      <c r="AK314" s="170"/>
      <c r="AL314" s="170"/>
      <c r="AM314" s="170"/>
      <c r="AN314" s="170"/>
      <c r="AO314" s="170"/>
      <c r="AP314" s="170"/>
      <c r="AQ314" s="170"/>
      <c r="AR314" s="170"/>
      <c r="AS314" s="170"/>
      <c r="AT314" s="170"/>
      <c r="AU314" s="170"/>
      <c r="AV314" s="170"/>
      <c r="AW314" s="170"/>
      <c r="AX314" s="170"/>
      <c r="AY314" s="170"/>
    </row>
    <row r="315" spans="1:51" s="171" customFormat="1" ht="15">
      <c r="A315" s="170"/>
      <c r="B315" s="175"/>
      <c r="C315" s="179" t="s">
        <v>677</v>
      </c>
      <c r="D315" s="172" t="s">
        <v>543</v>
      </c>
      <c r="E315" s="172">
        <v>2</v>
      </c>
      <c r="F315" s="101">
        <v>5.48</v>
      </c>
      <c r="G315" s="101">
        <v>3.82</v>
      </c>
      <c r="H315" s="101"/>
      <c r="I315" s="176"/>
      <c r="J315" s="163">
        <f>F315*G315*E315</f>
        <v>41.867200000000004</v>
      </c>
      <c r="K315" s="223"/>
      <c r="L315" s="170"/>
      <c r="M315" s="170"/>
      <c r="N315" s="170"/>
      <c r="O315" s="170"/>
      <c r="P315" s="170"/>
      <c r="Q315" s="170"/>
      <c r="R315" s="170"/>
      <c r="S315" s="170"/>
      <c r="T315" s="170"/>
      <c r="U315" s="170"/>
      <c r="V315" s="170"/>
      <c r="W315" s="170"/>
      <c r="X315" s="170"/>
      <c r="Y315" s="170"/>
      <c r="Z315" s="170"/>
      <c r="AA315" s="170"/>
      <c r="AB315" s="170"/>
      <c r="AC315" s="170"/>
      <c r="AD315" s="170"/>
      <c r="AE315" s="170"/>
      <c r="AF315" s="170"/>
      <c r="AG315" s="170"/>
      <c r="AH315" s="170"/>
      <c r="AI315" s="170"/>
      <c r="AJ315" s="170"/>
      <c r="AK315" s="170"/>
      <c r="AL315" s="170"/>
      <c r="AM315" s="170"/>
      <c r="AN315" s="170"/>
      <c r="AO315" s="170"/>
      <c r="AP315" s="170"/>
      <c r="AQ315" s="170"/>
      <c r="AR315" s="170"/>
      <c r="AS315" s="170"/>
      <c r="AT315" s="170"/>
      <c r="AU315" s="170"/>
      <c r="AV315" s="170"/>
      <c r="AW315" s="170"/>
      <c r="AX315" s="170"/>
      <c r="AY315" s="170"/>
    </row>
    <row r="316" spans="1:51" s="171" customFormat="1" ht="15">
      <c r="A316" s="170"/>
      <c r="B316" s="175"/>
      <c r="C316" s="179" t="s">
        <v>678</v>
      </c>
      <c r="D316" s="172" t="s">
        <v>543</v>
      </c>
      <c r="E316" s="172">
        <v>1</v>
      </c>
      <c r="F316" s="101">
        <v>10.029999999999999</v>
      </c>
      <c r="G316" s="101">
        <v>1.2</v>
      </c>
      <c r="H316" s="101"/>
      <c r="I316" s="176"/>
      <c r="J316" s="163">
        <f t="shared" si="29"/>
        <v>12.036</v>
      </c>
      <c r="K316" s="223"/>
      <c r="L316" s="170"/>
      <c r="M316" s="170"/>
      <c r="N316" s="170"/>
      <c r="O316" s="170"/>
      <c r="P316" s="170"/>
      <c r="Q316" s="170"/>
      <c r="R316" s="170"/>
      <c r="S316" s="170"/>
      <c r="T316" s="170"/>
      <c r="U316" s="170"/>
      <c r="V316" s="170"/>
      <c r="W316" s="170"/>
      <c r="X316" s="170"/>
      <c r="Y316" s="170"/>
      <c r="Z316" s="170"/>
      <c r="AA316" s="170"/>
      <c r="AB316" s="170"/>
      <c r="AC316" s="170"/>
      <c r="AD316" s="170"/>
      <c r="AE316" s="170"/>
      <c r="AF316" s="170"/>
      <c r="AG316" s="170"/>
      <c r="AH316" s="170"/>
      <c r="AI316" s="170"/>
      <c r="AJ316" s="170"/>
      <c r="AK316" s="170"/>
      <c r="AL316" s="170"/>
      <c r="AM316" s="170"/>
      <c r="AN316" s="170"/>
      <c r="AO316" s="170"/>
      <c r="AP316" s="170"/>
      <c r="AQ316" s="170"/>
      <c r="AR316" s="170"/>
      <c r="AS316" s="170"/>
      <c r="AT316" s="170"/>
      <c r="AU316" s="170"/>
      <c r="AV316" s="170"/>
      <c r="AW316" s="170"/>
      <c r="AX316" s="170"/>
      <c r="AY316" s="170"/>
    </row>
    <row r="317" spans="1:51" s="171" customFormat="1" ht="15">
      <c r="A317" s="170"/>
      <c r="B317" s="175"/>
      <c r="C317" s="179" t="s">
        <v>678</v>
      </c>
      <c r="D317" s="172" t="s">
        <v>543</v>
      </c>
      <c r="E317" s="172">
        <v>1</v>
      </c>
      <c r="F317" s="101">
        <v>3.99</v>
      </c>
      <c r="G317" s="101">
        <v>4.1399999999999997</v>
      </c>
      <c r="H317" s="101"/>
      <c r="I317" s="176"/>
      <c r="J317" s="163">
        <f t="shared" si="29"/>
        <v>16.518599999999999</v>
      </c>
      <c r="K317" s="223"/>
      <c r="L317" s="170"/>
      <c r="M317" s="170"/>
      <c r="N317" s="170"/>
      <c r="O317" s="170"/>
      <c r="P317" s="170"/>
      <c r="Q317" s="170"/>
      <c r="R317" s="170"/>
      <c r="S317" s="170"/>
      <c r="T317" s="170"/>
      <c r="U317" s="170"/>
      <c r="V317" s="170"/>
      <c r="W317" s="170"/>
      <c r="X317" s="170"/>
      <c r="Y317" s="170"/>
      <c r="Z317" s="170"/>
      <c r="AA317" s="170"/>
      <c r="AB317" s="170"/>
      <c r="AC317" s="170"/>
      <c r="AD317" s="170"/>
      <c r="AE317" s="170"/>
      <c r="AF317" s="170"/>
      <c r="AG317" s="170"/>
      <c r="AH317" s="170"/>
      <c r="AI317" s="170"/>
      <c r="AJ317" s="170"/>
      <c r="AK317" s="170"/>
      <c r="AL317" s="170"/>
      <c r="AM317" s="170"/>
      <c r="AN317" s="170"/>
      <c r="AO317" s="170"/>
      <c r="AP317" s="170"/>
      <c r="AQ317" s="170"/>
      <c r="AR317" s="170"/>
      <c r="AS317" s="170"/>
      <c r="AT317" s="170"/>
      <c r="AU317" s="170"/>
      <c r="AV317" s="170"/>
      <c r="AW317" s="170"/>
      <c r="AX317" s="170"/>
      <c r="AY317" s="170"/>
    </row>
    <row r="318" spans="1:51" s="171" customFormat="1" ht="15">
      <c r="A318" s="170"/>
      <c r="B318" s="175"/>
      <c r="C318" s="179" t="s">
        <v>678</v>
      </c>
      <c r="D318" s="172" t="s">
        <v>543</v>
      </c>
      <c r="E318" s="172">
        <v>1</v>
      </c>
      <c r="F318" s="101">
        <v>1.5</v>
      </c>
      <c r="G318" s="101">
        <v>7.01</v>
      </c>
      <c r="H318" s="101"/>
      <c r="I318" s="176"/>
      <c r="J318" s="163">
        <f t="shared" si="29"/>
        <v>10.515000000000001</v>
      </c>
      <c r="K318" s="223"/>
      <c r="L318" s="170"/>
      <c r="M318" s="170"/>
      <c r="N318" s="170"/>
      <c r="O318" s="170"/>
      <c r="P318" s="170"/>
      <c r="Q318" s="170"/>
      <c r="R318" s="170"/>
      <c r="S318" s="170"/>
      <c r="T318" s="170"/>
      <c r="U318" s="170"/>
      <c r="V318" s="170"/>
      <c r="W318" s="170"/>
      <c r="X318" s="170"/>
      <c r="Y318" s="170"/>
      <c r="Z318" s="170"/>
      <c r="AA318" s="170"/>
      <c r="AB318" s="170"/>
      <c r="AC318" s="170"/>
      <c r="AD318" s="170"/>
      <c r="AE318" s="170"/>
      <c r="AF318" s="170"/>
      <c r="AG318" s="170"/>
      <c r="AH318" s="170"/>
      <c r="AI318" s="170"/>
      <c r="AJ318" s="170"/>
      <c r="AK318" s="170"/>
      <c r="AL318" s="170"/>
      <c r="AM318" s="170"/>
      <c r="AN318" s="170"/>
      <c r="AO318" s="170"/>
      <c r="AP318" s="170"/>
      <c r="AQ318" s="170"/>
      <c r="AR318" s="170"/>
      <c r="AS318" s="170"/>
      <c r="AT318" s="170"/>
      <c r="AU318" s="170"/>
      <c r="AV318" s="170"/>
      <c r="AW318" s="170"/>
      <c r="AX318" s="170"/>
      <c r="AY318" s="170"/>
    </row>
    <row r="319" spans="1:51" s="171" customFormat="1" ht="15">
      <c r="A319" s="170"/>
      <c r="B319" s="175"/>
      <c r="C319" s="179" t="s">
        <v>678</v>
      </c>
      <c r="D319" s="172" t="s">
        <v>543</v>
      </c>
      <c r="E319" s="172">
        <v>1</v>
      </c>
      <c r="F319" s="101">
        <v>12.92</v>
      </c>
      <c r="G319" s="101">
        <v>1.2</v>
      </c>
      <c r="H319" s="101"/>
      <c r="I319" s="176"/>
      <c r="J319" s="163">
        <f t="shared" si="29"/>
        <v>15.504</v>
      </c>
      <c r="K319" s="223"/>
      <c r="L319" s="170"/>
      <c r="M319" s="170"/>
      <c r="N319" s="170"/>
      <c r="O319" s="170"/>
      <c r="P319" s="170"/>
      <c r="Q319" s="170"/>
      <c r="R319" s="170"/>
      <c r="S319" s="170"/>
      <c r="T319" s="170"/>
      <c r="U319" s="170"/>
      <c r="V319" s="170"/>
      <c r="W319" s="170"/>
      <c r="X319" s="170"/>
      <c r="Y319" s="170"/>
      <c r="Z319" s="170"/>
      <c r="AA319" s="170"/>
      <c r="AB319" s="170"/>
      <c r="AC319" s="170"/>
      <c r="AD319" s="170"/>
      <c r="AE319" s="170"/>
      <c r="AF319" s="170"/>
      <c r="AG319" s="170"/>
      <c r="AH319" s="170"/>
      <c r="AI319" s="170"/>
      <c r="AJ319" s="170"/>
      <c r="AK319" s="170"/>
      <c r="AL319" s="170"/>
      <c r="AM319" s="170"/>
      <c r="AN319" s="170"/>
      <c r="AO319" s="170"/>
      <c r="AP319" s="170"/>
      <c r="AQ319" s="170"/>
      <c r="AR319" s="170"/>
      <c r="AS319" s="170"/>
      <c r="AT319" s="170"/>
      <c r="AU319" s="170"/>
      <c r="AV319" s="170"/>
      <c r="AW319" s="170"/>
      <c r="AX319" s="170"/>
      <c r="AY319" s="170"/>
    </row>
    <row r="320" spans="1:51" s="171" customFormat="1" ht="15">
      <c r="A320" s="170"/>
      <c r="B320" s="175"/>
      <c r="C320" s="179"/>
      <c r="D320" s="172"/>
      <c r="E320" s="172"/>
      <c r="F320" s="101"/>
      <c r="G320" s="101"/>
      <c r="H320" s="101"/>
      <c r="I320" s="176"/>
      <c r="J320" s="163"/>
      <c r="K320" s="223"/>
      <c r="L320" s="170"/>
      <c r="M320" s="170"/>
      <c r="N320" s="170"/>
      <c r="O320" s="170"/>
      <c r="P320" s="170"/>
      <c r="Q320" s="170"/>
      <c r="R320" s="170"/>
      <c r="S320" s="170"/>
      <c r="T320" s="170"/>
      <c r="U320" s="170"/>
      <c r="V320" s="170"/>
      <c r="W320" s="170"/>
      <c r="X320" s="170"/>
      <c r="Y320" s="170"/>
      <c r="Z320" s="170"/>
      <c r="AA320" s="170"/>
      <c r="AB320" s="170"/>
      <c r="AC320" s="170"/>
      <c r="AD320" s="170"/>
      <c r="AE320" s="170"/>
      <c r="AF320" s="170"/>
      <c r="AG320" s="170"/>
      <c r="AH320" s="170"/>
      <c r="AI320" s="170"/>
      <c r="AJ320" s="170"/>
      <c r="AK320" s="170"/>
      <c r="AL320" s="170"/>
      <c r="AM320" s="170"/>
      <c r="AN320" s="170"/>
      <c r="AO320" s="170"/>
      <c r="AP320" s="170"/>
      <c r="AQ320" s="170"/>
      <c r="AR320" s="170"/>
      <c r="AS320" s="170"/>
      <c r="AT320" s="170"/>
      <c r="AU320" s="170"/>
      <c r="AV320" s="170"/>
      <c r="AW320" s="170"/>
      <c r="AX320" s="170"/>
      <c r="AY320" s="170"/>
    </row>
    <row r="321" spans="1:51" s="171" customFormat="1" ht="25.5">
      <c r="A321" s="170"/>
      <c r="B321" s="175" t="s">
        <v>697</v>
      </c>
      <c r="C321" s="298" t="s">
        <v>1087</v>
      </c>
      <c r="D321" s="172" t="s">
        <v>698</v>
      </c>
      <c r="E321" s="172"/>
      <c r="F321" s="101"/>
      <c r="G321" s="101" t="s">
        <v>1088</v>
      </c>
      <c r="H321" s="101"/>
      <c r="I321" s="176"/>
      <c r="J321" s="163">
        <f>SUM(J322:J339)</f>
        <v>312.24</v>
      </c>
      <c r="K321" s="223"/>
      <c r="L321" s="170"/>
      <c r="M321" s="170"/>
      <c r="N321" s="170"/>
      <c r="O321" s="170"/>
      <c r="P321" s="170"/>
      <c r="Q321" s="170"/>
      <c r="R321" s="170"/>
      <c r="S321" s="170"/>
      <c r="T321" s="170"/>
      <c r="U321" s="170"/>
      <c r="V321" s="170"/>
      <c r="W321" s="170"/>
      <c r="X321" s="170"/>
      <c r="Y321" s="170"/>
      <c r="Z321" s="170"/>
      <c r="AA321" s="170"/>
      <c r="AB321" s="170"/>
      <c r="AC321" s="170"/>
      <c r="AD321" s="170"/>
      <c r="AE321" s="170"/>
      <c r="AF321" s="170"/>
      <c r="AG321" s="170"/>
      <c r="AH321" s="170"/>
      <c r="AI321" s="170"/>
      <c r="AJ321" s="170"/>
      <c r="AK321" s="170"/>
      <c r="AL321" s="170"/>
      <c r="AM321" s="170"/>
      <c r="AN321" s="170"/>
      <c r="AO321" s="170"/>
      <c r="AP321" s="170"/>
      <c r="AQ321" s="170"/>
      <c r="AR321" s="170"/>
      <c r="AS321" s="170"/>
      <c r="AT321" s="170"/>
      <c r="AU321" s="170"/>
      <c r="AV321" s="170"/>
      <c r="AW321" s="170"/>
      <c r="AX321" s="170"/>
      <c r="AY321" s="170"/>
    </row>
    <row r="322" spans="1:51" s="171" customFormat="1" ht="15">
      <c r="A322" s="170"/>
      <c r="B322" s="175"/>
      <c r="C322" s="179" t="s">
        <v>667</v>
      </c>
      <c r="D322" s="172" t="s">
        <v>698</v>
      </c>
      <c r="E322" s="172">
        <v>1</v>
      </c>
      <c r="F322" s="101">
        <v>14.02</v>
      </c>
      <c r="G322" s="101">
        <v>0.9</v>
      </c>
      <c r="H322" s="101"/>
      <c r="I322" s="176"/>
      <c r="J322" s="163">
        <f>F322-G322</f>
        <v>13.12</v>
      </c>
      <c r="K322" s="223"/>
      <c r="L322" s="170"/>
      <c r="M322" s="170"/>
      <c r="N322" s="170"/>
      <c r="O322" s="170"/>
      <c r="P322" s="170"/>
      <c r="Q322" s="170"/>
      <c r="R322" s="170"/>
      <c r="S322" s="170"/>
      <c r="T322" s="170"/>
      <c r="U322" s="170"/>
      <c r="V322" s="170"/>
      <c r="W322" s="170"/>
      <c r="X322" s="170"/>
      <c r="Y322" s="170"/>
      <c r="Z322" s="170"/>
      <c r="AA322" s="170"/>
      <c r="AB322" s="170"/>
      <c r="AC322" s="170"/>
      <c r="AD322" s="170"/>
      <c r="AE322" s="170"/>
      <c r="AF322" s="170"/>
      <c r="AG322" s="170"/>
      <c r="AH322" s="170"/>
      <c r="AI322" s="170"/>
      <c r="AJ322" s="170"/>
      <c r="AK322" s="170"/>
      <c r="AL322" s="170"/>
      <c r="AM322" s="170"/>
      <c r="AN322" s="170"/>
      <c r="AO322" s="170"/>
      <c r="AP322" s="170"/>
      <c r="AQ322" s="170"/>
      <c r="AR322" s="170"/>
      <c r="AS322" s="170"/>
      <c r="AT322" s="170"/>
      <c r="AU322" s="170"/>
      <c r="AV322" s="170"/>
      <c r="AW322" s="170"/>
      <c r="AX322" s="170"/>
      <c r="AY322" s="170"/>
    </row>
    <row r="323" spans="1:51" s="171" customFormat="1" ht="15">
      <c r="A323" s="170"/>
      <c r="B323" s="175"/>
      <c r="C323" s="179" t="s">
        <v>668</v>
      </c>
      <c r="D323" s="172" t="s">
        <v>698</v>
      </c>
      <c r="E323" s="172">
        <v>1</v>
      </c>
      <c r="F323" s="101">
        <v>13.38</v>
      </c>
      <c r="G323" s="101">
        <v>0.9</v>
      </c>
      <c r="H323" s="101"/>
      <c r="I323" s="176"/>
      <c r="J323" s="163">
        <f t="shared" ref="J323:J339" si="30">F323-G323</f>
        <v>12.48</v>
      </c>
      <c r="K323" s="223"/>
      <c r="L323" s="170"/>
      <c r="M323" s="170"/>
      <c r="N323" s="170"/>
      <c r="O323" s="170"/>
      <c r="P323" s="170"/>
      <c r="Q323" s="170"/>
      <c r="R323" s="170"/>
      <c r="S323" s="170"/>
      <c r="T323" s="170"/>
      <c r="U323" s="170"/>
      <c r="V323" s="170"/>
      <c r="W323" s="170"/>
      <c r="X323" s="170"/>
      <c r="Y323" s="170"/>
      <c r="Z323" s="170"/>
      <c r="AA323" s="170"/>
      <c r="AB323" s="170"/>
      <c r="AC323" s="170"/>
      <c r="AD323" s="170"/>
      <c r="AE323" s="170"/>
      <c r="AF323" s="170"/>
      <c r="AG323" s="170"/>
      <c r="AH323" s="170"/>
      <c r="AI323" s="170"/>
      <c r="AJ323" s="170"/>
      <c r="AK323" s="170"/>
      <c r="AL323" s="170"/>
      <c r="AM323" s="170"/>
      <c r="AN323" s="170"/>
      <c r="AO323" s="170"/>
      <c r="AP323" s="170"/>
      <c r="AQ323" s="170"/>
      <c r="AR323" s="170"/>
      <c r="AS323" s="170"/>
      <c r="AT323" s="170"/>
      <c r="AU323" s="170"/>
      <c r="AV323" s="170"/>
      <c r="AW323" s="170"/>
      <c r="AX323" s="170"/>
      <c r="AY323" s="170"/>
    </row>
    <row r="324" spans="1:51" s="171" customFormat="1" ht="15">
      <c r="A324" s="170"/>
      <c r="B324" s="175"/>
      <c r="C324" s="179" t="s">
        <v>669</v>
      </c>
      <c r="D324" s="172" t="s">
        <v>698</v>
      </c>
      <c r="E324" s="172">
        <v>1</v>
      </c>
      <c r="F324" s="101">
        <v>14.94</v>
      </c>
      <c r="G324" s="101">
        <v>0.9</v>
      </c>
      <c r="H324" s="101"/>
      <c r="I324" s="176"/>
      <c r="J324" s="163">
        <f t="shared" si="30"/>
        <v>14.04</v>
      </c>
      <c r="K324" s="223"/>
      <c r="L324" s="170"/>
      <c r="M324" s="170"/>
      <c r="N324" s="170"/>
      <c r="O324" s="170"/>
      <c r="P324" s="170"/>
      <c r="Q324" s="170"/>
      <c r="R324" s="170"/>
      <c r="S324" s="170"/>
      <c r="T324" s="170"/>
      <c r="U324" s="170"/>
      <c r="V324" s="170"/>
      <c r="W324" s="170"/>
      <c r="X324" s="170"/>
      <c r="Y324" s="170"/>
      <c r="Z324" s="170"/>
      <c r="AA324" s="170"/>
      <c r="AB324" s="170"/>
      <c r="AC324" s="170"/>
      <c r="AD324" s="170"/>
      <c r="AE324" s="170"/>
      <c r="AF324" s="170"/>
      <c r="AG324" s="170"/>
      <c r="AH324" s="170"/>
      <c r="AI324" s="170"/>
      <c r="AJ324" s="170"/>
      <c r="AK324" s="170"/>
      <c r="AL324" s="170"/>
      <c r="AM324" s="170"/>
      <c r="AN324" s="170"/>
      <c r="AO324" s="170"/>
      <c r="AP324" s="170"/>
      <c r="AQ324" s="170"/>
      <c r="AR324" s="170"/>
      <c r="AS324" s="170"/>
      <c r="AT324" s="170"/>
      <c r="AU324" s="170"/>
      <c r="AV324" s="170"/>
      <c r="AW324" s="170"/>
      <c r="AX324" s="170"/>
      <c r="AY324" s="170"/>
    </row>
    <row r="325" spans="1:51" s="171" customFormat="1" ht="15">
      <c r="A325" s="170"/>
      <c r="B325" s="175"/>
      <c r="C325" s="179" t="s">
        <v>699</v>
      </c>
      <c r="D325" s="172" t="s">
        <v>698</v>
      </c>
      <c r="E325" s="172">
        <v>1</v>
      </c>
      <c r="F325" s="101">
        <v>9.7799999999999994</v>
      </c>
      <c r="G325" s="101">
        <v>0.9</v>
      </c>
      <c r="H325" s="101"/>
      <c r="I325" s="176"/>
      <c r="J325" s="163">
        <f t="shared" si="30"/>
        <v>8.879999999999999</v>
      </c>
      <c r="K325" s="223"/>
      <c r="L325" s="170"/>
      <c r="M325" s="170"/>
      <c r="N325" s="170"/>
      <c r="O325" s="170"/>
      <c r="P325" s="170"/>
      <c r="Q325" s="170"/>
      <c r="R325" s="170"/>
      <c r="S325" s="170"/>
      <c r="T325" s="170"/>
      <c r="U325" s="170"/>
      <c r="V325" s="170"/>
      <c r="W325" s="170"/>
      <c r="X325" s="170"/>
      <c r="Y325" s="170"/>
      <c r="Z325" s="170"/>
      <c r="AA325" s="170"/>
      <c r="AB325" s="170"/>
      <c r="AC325" s="170"/>
      <c r="AD325" s="170"/>
      <c r="AE325" s="170"/>
      <c r="AF325" s="170"/>
      <c r="AG325" s="170"/>
      <c r="AH325" s="170"/>
      <c r="AI325" s="170"/>
      <c r="AJ325" s="170"/>
      <c r="AK325" s="170"/>
      <c r="AL325" s="170"/>
      <c r="AM325" s="170"/>
      <c r="AN325" s="170"/>
      <c r="AO325" s="170"/>
      <c r="AP325" s="170"/>
      <c r="AQ325" s="170"/>
      <c r="AR325" s="170"/>
      <c r="AS325" s="170"/>
      <c r="AT325" s="170"/>
      <c r="AU325" s="170"/>
      <c r="AV325" s="170"/>
      <c r="AW325" s="170"/>
      <c r="AX325" s="170"/>
      <c r="AY325" s="170"/>
    </row>
    <row r="326" spans="1:51" s="171" customFormat="1" ht="15">
      <c r="A326" s="170"/>
      <c r="B326" s="175"/>
      <c r="C326" s="179" t="s">
        <v>672</v>
      </c>
      <c r="D326" s="172" t="s">
        <v>698</v>
      </c>
      <c r="E326" s="172">
        <v>1</v>
      </c>
      <c r="F326" s="101">
        <v>16.41</v>
      </c>
      <c r="G326" s="101">
        <v>0.9</v>
      </c>
      <c r="H326" s="101"/>
      <c r="I326" s="176"/>
      <c r="J326" s="163">
        <f t="shared" si="30"/>
        <v>15.51</v>
      </c>
      <c r="K326" s="223"/>
      <c r="L326" s="170"/>
      <c r="M326" s="170"/>
      <c r="N326" s="170"/>
      <c r="O326" s="170"/>
      <c r="P326" s="170"/>
      <c r="Q326" s="170"/>
      <c r="R326" s="170"/>
      <c r="S326" s="170"/>
      <c r="T326" s="170"/>
      <c r="U326" s="170"/>
      <c r="V326" s="170"/>
      <c r="W326" s="170"/>
      <c r="X326" s="170"/>
      <c r="Y326" s="170"/>
      <c r="Z326" s="170"/>
      <c r="AA326" s="170"/>
      <c r="AB326" s="170"/>
      <c r="AC326" s="170"/>
      <c r="AD326" s="170"/>
      <c r="AE326" s="170"/>
      <c r="AF326" s="170"/>
      <c r="AG326" s="170"/>
      <c r="AH326" s="170"/>
      <c r="AI326" s="170"/>
      <c r="AJ326" s="170"/>
      <c r="AK326" s="170"/>
      <c r="AL326" s="170"/>
      <c r="AM326" s="170"/>
      <c r="AN326" s="170"/>
      <c r="AO326" s="170"/>
      <c r="AP326" s="170"/>
      <c r="AQ326" s="170"/>
      <c r="AR326" s="170"/>
      <c r="AS326" s="170"/>
      <c r="AT326" s="170"/>
      <c r="AU326" s="170"/>
      <c r="AV326" s="170"/>
      <c r="AW326" s="170"/>
      <c r="AX326" s="170"/>
      <c r="AY326" s="170"/>
    </row>
    <row r="327" spans="1:51" s="171" customFormat="1" ht="15">
      <c r="A327" s="170"/>
      <c r="B327" s="175"/>
      <c r="C327" s="179" t="s">
        <v>674</v>
      </c>
      <c r="D327" s="172" t="s">
        <v>698</v>
      </c>
      <c r="E327" s="172">
        <v>1</v>
      </c>
      <c r="F327" s="101">
        <v>33.479999999999997</v>
      </c>
      <c r="G327" s="101">
        <v>1.8</v>
      </c>
      <c r="H327" s="101"/>
      <c r="I327" s="176"/>
      <c r="J327" s="163">
        <f t="shared" si="30"/>
        <v>31.679999999999996</v>
      </c>
      <c r="K327" s="223"/>
      <c r="L327" s="170"/>
      <c r="M327" s="170"/>
      <c r="N327" s="170"/>
      <c r="O327" s="170"/>
      <c r="P327" s="170"/>
      <c r="Q327" s="170"/>
      <c r="R327" s="170"/>
      <c r="S327" s="170"/>
      <c r="T327" s="170"/>
      <c r="U327" s="170"/>
      <c r="V327" s="170"/>
      <c r="W327" s="170"/>
      <c r="X327" s="170"/>
      <c r="Y327" s="170"/>
      <c r="Z327" s="170"/>
      <c r="AA327" s="170"/>
      <c r="AB327" s="170"/>
      <c r="AC327" s="170"/>
      <c r="AD327" s="170"/>
      <c r="AE327" s="170"/>
      <c r="AF327" s="170"/>
      <c r="AG327" s="170"/>
      <c r="AH327" s="170"/>
      <c r="AI327" s="170"/>
      <c r="AJ327" s="170"/>
      <c r="AK327" s="170"/>
      <c r="AL327" s="170"/>
      <c r="AM327" s="170"/>
      <c r="AN327" s="170"/>
      <c r="AO327" s="170"/>
      <c r="AP327" s="170"/>
      <c r="AQ327" s="170"/>
      <c r="AR327" s="170"/>
      <c r="AS327" s="170"/>
      <c r="AT327" s="170"/>
      <c r="AU327" s="170"/>
      <c r="AV327" s="170"/>
      <c r="AW327" s="170"/>
      <c r="AX327" s="170"/>
      <c r="AY327" s="170"/>
    </row>
    <row r="328" spans="1:51" s="171" customFormat="1" ht="15">
      <c r="A328" s="170"/>
      <c r="B328" s="175"/>
      <c r="C328" s="179" t="s">
        <v>675</v>
      </c>
      <c r="D328" s="172" t="s">
        <v>698</v>
      </c>
      <c r="E328" s="172">
        <v>1</v>
      </c>
      <c r="F328" s="101">
        <v>14.41</v>
      </c>
      <c r="G328" s="101">
        <v>0.9</v>
      </c>
      <c r="H328" s="101"/>
      <c r="I328" s="176"/>
      <c r="J328" s="163">
        <f t="shared" si="30"/>
        <v>13.51</v>
      </c>
      <c r="K328" s="223"/>
      <c r="L328" s="170"/>
      <c r="M328" s="170"/>
      <c r="N328" s="170"/>
      <c r="O328" s="170"/>
      <c r="P328" s="170"/>
      <c r="Q328" s="170"/>
      <c r="R328" s="170"/>
      <c r="S328" s="170"/>
      <c r="T328" s="170"/>
      <c r="U328" s="170"/>
      <c r="V328" s="170"/>
      <c r="W328" s="170"/>
      <c r="X328" s="170"/>
      <c r="Y328" s="170"/>
      <c r="Z328" s="170"/>
      <c r="AA328" s="170"/>
      <c r="AB328" s="170"/>
      <c r="AC328" s="170"/>
      <c r="AD328" s="170"/>
      <c r="AE328" s="170"/>
      <c r="AF328" s="170"/>
      <c r="AG328" s="170"/>
      <c r="AH328" s="170"/>
      <c r="AI328" s="170"/>
      <c r="AJ328" s="170"/>
      <c r="AK328" s="170"/>
      <c r="AL328" s="170"/>
      <c r="AM328" s="170"/>
      <c r="AN328" s="170"/>
      <c r="AO328" s="170"/>
      <c r="AP328" s="170"/>
      <c r="AQ328" s="170"/>
      <c r="AR328" s="170"/>
      <c r="AS328" s="170"/>
      <c r="AT328" s="170"/>
      <c r="AU328" s="170"/>
      <c r="AV328" s="170"/>
      <c r="AW328" s="170"/>
      <c r="AX328" s="170"/>
      <c r="AY328" s="170"/>
    </row>
    <row r="329" spans="1:51" s="171" customFormat="1" ht="15">
      <c r="A329" s="170"/>
      <c r="B329" s="175"/>
      <c r="C329" s="179" t="s">
        <v>675</v>
      </c>
      <c r="D329" s="172" t="s">
        <v>698</v>
      </c>
      <c r="E329" s="172">
        <v>1</v>
      </c>
      <c r="F329" s="101">
        <v>14.37</v>
      </c>
      <c r="G329" s="101">
        <v>0.9</v>
      </c>
      <c r="H329" s="101"/>
      <c r="I329" s="176"/>
      <c r="J329" s="163">
        <f t="shared" si="30"/>
        <v>13.469999999999999</v>
      </c>
      <c r="K329" s="223"/>
      <c r="L329" s="170"/>
      <c r="M329" s="170"/>
      <c r="N329" s="170"/>
      <c r="O329" s="170"/>
      <c r="P329" s="170"/>
      <c r="Q329" s="170"/>
      <c r="R329" s="170"/>
      <c r="S329" s="170"/>
      <c r="T329" s="170"/>
      <c r="U329" s="170"/>
      <c r="V329" s="170"/>
      <c r="W329" s="170"/>
      <c r="X329" s="170"/>
      <c r="Y329" s="170"/>
      <c r="Z329" s="170"/>
      <c r="AA329" s="170"/>
      <c r="AB329" s="170"/>
      <c r="AC329" s="170"/>
      <c r="AD329" s="170"/>
      <c r="AE329" s="170"/>
      <c r="AF329" s="170"/>
      <c r="AG329" s="170"/>
      <c r="AH329" s="170"/>
      <c r="AI329" s="170"/>
      <c r="AJ329" s="170"/>
      <c r="AK329" s="170"/>
      <c r="AL329" s="170"/>
      <c r="AM329" s="170"/>
      <c r="AN329" s="170"/>
      <c r="AO329" s="170"/>
      <c r="AP329" s="170"/>
      <c r="AQ329" s="170"/>
      <c r="AR329" s="170"/>
      <c r="AS329" s="170"/>
      <c r="AT329" s="170"/>
      <c r="AU329" s="170"/>
      <c r="AV329" s="170"/>
      <c r="AW329" s="170"/>
      <c r="AX329" s="170"/>
      <c r="AY329" s="170"/>
    </row>
    <row r="330" spans="1:51" s="171" customFormat="1" ht="15">
      <c r="A330" s="170"/>
      <c r="B330" s="175"/>
      <c r="C330" s="179" t="s">
        <v>675</v>
      </c>
      <c r="D330" s="172" t="s">
        <v>698</v>
      </c>
      <c r="E330" s="172">
        <v>1</v>
      </c>
      <c r="F330" s="101">
        <v>14.37</v>
      </c>
      <c r="G330" s="101">
        <v>0.9</v>
      </c>
      <c r="H330" s="101"/>
      <c r="I330" s="176"/>
      <c r="J330" s="163">
        <f t="shared" si="30"/>
        <v>13.469999999999999</v>
      </c>
      <c r="K330" s="223"/>
      <c r="L330" s="170"/>
      <c r="M330" s="170"/>
      <c r="N330" s="170"/>
      <c r="O330" s="170"/>
      <c r="P330" s="170"/>
      <c r="Q330" s="170"/>
      <c r="R330" s="170"/>
      <c r="S330" s="170"/>
      <c r="T330" s="170"/>
      <c r="U330" s="170"/>
      <c r="V330" s="170"/>
      <c r="W330" s="170"/>
      <c r="X330" s="170"/>
      <c r="Y330" s="170"/>
      <c r="Z330" s="170"/>
      <c r="AA330" s="170"/>
      <c r="AB330" s="170"/>
      <c r="AC330" s="170"/>
      <c r="AD330" s="170"/>
      <c r="AE330" s="170"/>
      <c r="AF330" s="170"/>
      <c r="AG330" s="170"/>
      <c r="AH330" s="170"/>
      <c r="AI330" s="170"/>
      <c r="AJ330" s="170"/>
      <c r="AK330" s="170"/>
      <c r="AL330" s="170"/>
      <c r="AM330" s="170"/>
      <c r="AN330" s="170"/>
      <c r="AO330" s="170"/>
      <c r="AP330" s="170"/>
      <c r="AQ330" s="170"/>
      <c r="AR330" s="170"/>
      <c r="AS330" s="170"/>
      <c r="AT330" s="170"/>
      <c r="AU330" s="170"/>
      <c r="AV330" s="170"/>
      <c r="AW330" s="170"/>
      <c r="AX330" s="170"/>
      <c r="AY330" s="170"/>
    </row>
    <row r="331" spans="1:51" s="171" customFormat="1" ht="15">
      <c r="A331" s="170"/>
      <c r="B331" s="175"/>
      <c r="C331" s="179" t="s">
        <v>675</v>
      </c>
      <c r="D331" s="172" t="s">
        <v>698</v>
      </c>
      <c r="E331" s="172">
        <v>1</v>
      </c>
      <c r="F331" s="101">
        <v>14.41</v>
      </c>
      <c r="G331" s="101">
        <v>0.9</v>
      </c>
      <c r="H331" s="101"/>
      <c r="I331" s="176"/>
      <c r="J331" s="163">
        <f t="shared" si="30"/>
        <v>13.51</v>
      </c>
      <c r="K331" s="223"/>
      <c r="L331" s="170"/>
      <c r="M331" s="170"/>
      <c r="N331" s="170"/>
      <c r="O331" s="170"/>
      <c r="P331" s="170"/>
      <c r="Q331" s="170"/>
      <c r="R331" s="170"/>
      <c r="S331" s="170"/>
      <c r="T331" s="170"/>
      <c r="U331" s="170"/>
      <c r="V331" s="170"/>
      <c r="W331" s="170"/>
      <c r="X331" s="170"/>
      <c r="Y331" s="170"/>
      <c r="Z331" s="170"/>
      <c r="AA331" s="170"/>
      <c r="AB331" s="170"/>
      <c r="AC331" s="170"/>
      <c r="AD331" s="170"/>
      <c r="AE331" s="170"/>
      <c r="AF331" s="170"/>
      <c r="AG331" s="170"/>
      <c r="AH331" s="170"/>
      <c r="AI331" s="170"/>
      <c r="AJ331" s="170"/>
      <c r="AK331" s="170"/>
      <c r="AL331" s="170"/>
      <c r="AM331" s="170"/>
      <c r="AN331" s="170"/>
      <c r="AO331" s="170"/>
      <c r="AP331" s="170"/>
      <c r="AQ331" s="170"/>
      <c r="AR331" s="170"/>
      <c r="AS331" s="170"/>
      <c r="AT331" s="170"/>
      <c r="AU331" s="170"/>
      <c r="AV331" s="170"/>
      <c r="AW331" s="170"/>
      <c r="AX331" s="170"/>
      <c r="AY331" s="170"/>
    </row>
    <row r="332" spans="1:51" s="171" customFormat="1" ht="15">
      <c r="A332" s="170"/>
      <c r="B332" s="175"/>
      <c r="C332" s="179" t="s">
        <v>675</v>
      </c>
      <c r="D332" s="172" t="s">
        <v>698</v>
      </c>
      <c r="E332" s="172">
        <v>1</v>
      </c>
      <c r="F332" s="101">
        <v>14.37</v>
      </c>
      <c r="G332" s="101">
        <v>0.9</v>
      </c>
      <c r="H332" s="101"/>
      <c r="I332" s="176"/>
      <c r="J332" s="163">
        <f t="shared" si="30"/>
        <v>13.469999999999999</v>
      </c>
      <c r="K332" s="223"/>
      <c r="L332" s="170"/>
      <c r="M332" s="170"/>
      <c r="N332" s="170"/>
      <c r="O332" s="170"/>
      <c r="P332" s="170"/>
      <c r="Q332" s="170"/>
      <c r="R332" s="170"/>
      <c r="S332" s="170"/>
      <c r="T332" s="170"/>
      <c r="U332" s="170"/>
      <c r="V332" s="170"/>
      <c r="W332" s="170"/>
      <c r="X332" s="170"/>
      <c r="Y332" s="170"/>
      <c r="Z332" s="170"/>
      <c r="AA332" s="170"/>
      <c r="AB332" s="170"/>
      <c r="AC332" s="170"/>
      <c r="AD332" s="170"/>
      <c r="AE332" s="170"/>
      <c r="AF332" s="170"/>
      <c r="AG332" s="170"/>
      <c r="AH332" s="170"/>
      <c r="AI332" s="170"/>
      <c r="AJ332" s="170"/>
      <c r="AK332" s="170"/>
      <c r="AL332" s="170"/>
      <c r="AM332" s="170"/>
      <c r="AN332" s="170"/>
      <c r="AO332" s="170"/>
      <c r="AP332" s="170"/>
      <c r="AQ332" s="170"/>
      <c r="AR332" s="170"/>
      <c r="AS332" s="170"/>
      <c r="AT332" s="170"/>
      <c r="AU332" s="170"/>
      <c r="AV332" s="170"/>
      <c r="AW332" s="170"/>
      <c r="AX332" s="170"/>
      <c r="AY332" s="170"/>
    </row>
    <row r="333" spans="1:51" s="171" customFormat="1" ht="15">
      <c r="A333" s="170"/>
      <c r="B333" s="175"/>
      <c r="C333" s="179" t="s">
        <v>675</v>
      </c>
      <c r="D333" s="172" t="s">
        <v>698</v>
      </c>
      <c r="E333" s="172">
        <v>1</v>
      </c>
      <c r="F333" s="101">
        <v>15</v>
      </c>
      <c r="G333" s="101">
        <v>0.9</v>
      </c>
      <c r="H333" s="101"/>
      <c r="I333" s="176"/>
      <c r="J333" s="163">
        <f t="shared" si="30"/>
        <v>14.1</v>
      </c>
      <c r="K333" s="223"/>
      <c r="L333" s="170"/>
      <c r="M333" s="170"/>
      <c r="N333" s="170"/>
      <c r="O333" s="170"/>
      <c r="P333" s="170"/>
      <c r="Q333" s="170"/>
      <c r="R333" s="170"/>
      <c r="S333" s="170"/>
      <c r="T333" s="170"/>
      <c r="U333" s="170"/>
      <c r="V333" s="170"/>
      <c r="W333" s="170"/>
      <c r="X333" s="170"/>
      <c r="Y333" s="170"/>
      <c r="Z333" s="170"/>
      <c r="AA333" s="170"/>
      <c r="AB333" s="170"/>
      <c r="AC333" s="170"/>
      <c r="AD333" s="170"/>
      <c r="AE333" s="170"/>
      <c r="AF333" s="170"/>
      <c r="AG333" s="170"/>
      <c r="AH333" s="170"/>
      <c r="AI333" s="170"/>
      <c r="AJ333" s="170"/>
      <c r="AK333" s="170"/>
      <c r="AL333" s="170"/>
      <c r="AM333" s="170"/>
      <c r="AN333" s="170"/>
      <c r="AO333" s="170"/>
      <c r="AP333" s="170"/>
      <c r="AQ333" s="170"/>
      <c r="AR333" s="170"/>
      <c r="AS333" s="170"/>
      <c r="AT333" s="170"/>
      <c r="AU333" s="170"/>
      <c r="AV333" s="170"/>
      <c r="AW333" s="170"/>
      <c r="AX333" s="170"/>
      <c r="AY333" s="170"/>
    </row>
    <row r="334" spans="1:51" s="171" customFormat="1" ht="15">
      <c r="A334" s="170"/>
      <c r="B334" s="175"/>
      <c r="C334" s="179" t="s">
        <v>676</v>
      </c>
      <c r="D334" s="172" t="s">
        <v>698</v>
      </c>
      <c r="E334" s="172">
        <v>1</v>
      </c>
      <c r="F334" s="101">
        <v>25.25</v>
      </c>
      <c r="G334" s="101">
        <v>0.9</v>
      </c>
      <c r="H334" s="101"/>
      <c r="I334" s="176"/>
      <c r="J334" s="163">
        <f t="shared" si="30"/>
        <v>24.35</v>
      </c>
      <c r="K334" s="223"/>
      <c r="L334" s="170"/>
      <c r="M334" s="170"/>
      <c r="N334" s="170"/>
      <c r="O334" s="170"/>
      <c r="P334" s="170"/>
      <c r="Q334" s="170"/>
      <c r="R334" s="170"/>
      <c r="S334" s="170"/>
      <c r="T334" s="170"/>
      <c r="U334" s="170"/>
      <c r="V334" s="170"/>
      <c r="W334" s="170"/>
      <c r="X334" s="170"/>
      <c r="Y334" s="170"/>
      <c r="Z334" s="170"/>
      <c r="AA334" s="170"/>
      <c r="AB334" s="170"/>
      <c r="AC334" s="170"/>
      <c r="AD334" s="170"/>
      <c r="AE334" s="170"/>
      <c r="AF334" s="170"/>
      <c r="AG334" s="170"/>
      <c r="AH334" s="170"/>
      <c r="AI334" s="170"/>
      <c r="AJ334" s="170"/>
      <c r="AK334" s="170"/>
      <c r="AL334" s="170"/>
      <c r="AM334" s="170"/>
      <c r="AN334" s="170"/>
      <c r="AO334" s="170"/>
      <c r="AP334" s="170"/>
      <c r="AQ334" s="170"/>
      <c r="AR334" s="170"/>
      <c r="AS334" s="170"/>
      <c r="AT334" s="170"/>
      <c r="AU334" s="170"/>
      <c r="AV334" s="170"/>
      <c r="AW334" s="170"/>
      <c r="AX334" s="170"/>
      <c r="AY334" s="170"/>
    </row>
    <row r="335" spans="1:51" s="171" customFormat="1" ht="15">
      <c r="A335" s="170"/>
      <c r="B335" s="175"/>
      <c r="C335" s="179" t="s">
        <v>677</v>
      </c>
      <c r="D335" s="172" t="s">
        <v>698</v>
      </c>
      <c r="E335" s="172">
        <v>2</v>
      </c>
      <c r="F335" s="101">
        <v>18.579999999999998</v>
      </c>
      <c r="G335" s="101">
        <v>0.9</v>
      </c>
      <c r="H335" s="101"/>
      <c r="I335" s="176"/>
      <c r="J335" s="163">
        <f>(F335-G335)*2</f>
        <v>35.36</v>
      </c>
      <c r="K335" s="223"/>
      <c r="L335" s="170"/>
      <c r="M335" s="170"/>
      <c r="N335" s="170"/>
      <c r="O335" s="170"/>
      <c r="P335" s="170"/>
      <c r="Q335" s="170"/>
      <c r="R335" s="170"/>
      <c r="S335" s="170"/>
      <c r="T335" s="170"/>
      <c r="U335" s="170"/>
      <c r="V335" s="170"/>
      <c r="W335" s="170"/>
      <c r="X335" s="170"/>
      <c r="Y335" s="170"/>
      <c r="Z335" s="170"/>
      <c r="AA335" s="170"/>
      <c r="AB335" s="170"/>
      <c r="AC335" s="170"/>
      <c r="AD335" s="170"/>
      <c r="AE335" s="170"/>
      <c r="AF335" s="170"/>
      <c r="AG335" s="170"/>
      <c r="AH335" s="170"/>
      <c r="AI335" s="170"/>
      <c r="AJ335" s="170"/>
      <c r="AK335" s="170"/>
      <c r="AL335" s="170"/>
      <c r="AM335" s="170"/>
      <c r="AN335" s="170"/>
      <c r="AO335" s="170"/>
      <c r="AP335" s="170"/>
      <c r="AQ335" s="170"/>
      <c r="AR335" s="170"/>
      <c r="AS335" s="170"/>
      <c r="AT335" s="170"/>
      <c r="AU335" s="170"/>
      <c r="AV335" s="170"/>
      <c r="AW335" s="170"/>
      <c r="AX335" s="170"/>
      <c r="AY335" s="170"/>
    </row>
    <row r="336" spans="1:51" s="171" customFormat="1" ht="15">
      <c r="A336" s="170"/>
      <c r="B336" s="175"/>
      <c r="C336" s="179" t="s">
        <v>678</v>
      </c>
      <c r="D336" s="172" t="s">
        <v>698</v>
      </c>
      <c r="E336" s="172">
        <v>1</v>
      </c>
      <c r="F336" s="101">
        <v>28.25</v>
      </c>
      <c r="G336" s="101">
        <v>2.7</v>
      </c>
      <c r="H336" s="101"/>
      <c r="I336" s="176"/>
      <c r="J336" s="163">
        <f t="shared" si="30"/>
        <v>25.55</v>
      </c>
      <c r="K336" s="223"/>
      <c r="L336" s="170"/>
      <c r="M336" s="170"/>
      <c r="N336" s="170"/>
      <c r="O336" s="170"/>
      <c r="P336" s="170"/>
      <c r="Q336" s="170"/>
      <c r="R336" s="170"/>
      <c r="S336" s="170"/>
      <c r="T336" s="170"/>
      <c r="U336" s="170"/>
      <c r="V336" s="170"/>
      <c r="W336" s="170"/>
      <c r="X336" s="170"/>
      <c r="Y336" s="170"/>
      <c r="Z336" s="170"/>
      <c r="AA336" s="170"/>
      <c r="AB336" s="170"/>
      <c r="AC336" s="170"/>
      <c r="AD336" s="170"/>
      <c r="AE336" s="170"/>
      <c r="AF336" s="170"/>
      <c r="AG336" s="170"/>
      <c r="AH336" s="170"/>
      <c r="AI336" s="170"/>
      <c r="AJ336" s="170"/>
      <c r="AK336" s="170"/>
      <c r="AL336" s="170"/>
      <c r="AM336" s="170"/>
      <c r="AN336" s="170"/>
      <c r="AO336" s="170"/>
      <c r="AP336" s="170"/>
      <c r="AQ336" s="170"/>
      <c r="AR336" s="170"/>
      <c r="AS336" s="170"/>
      <c r="AT336" s="170"/>
      <c r="AU336" s="170"/>
      <c r="AV336" s="170"/>
      <c r="AW336" s="170"/>
      <c r="AX336" s="170"/>
      <c r="AY336" s="170"/>
    </row>
    <row r="337" spans="1:51" s="171" customFormat="1" ht="15">
      <c r="A337" s="170"/>
      <c r="B337" s="175"/>
      <c r="C337" s="179" t="s">
        <v>678</v>
      </c>
      <c r="D337" s="172" t="s">
        <v>698</v>
      </c>
      <c r="E337" s="172">
        <v>1</v>
      </c>
      <c r="F337" s="101">
        <v>14.62</v>
      </c>
      <c r="G337" s="101">
        <v>1.8</v>
      </c>
      <c r="H337" s="101"/>
      <c r="I337" s="176"/>
      <c r="J337" s="163">
        <f t="shared" si="30"/>
        <v>12.819999999999999</v>
      </c>
      <c r="K337" s="223"/>
      <c r="L337" s="170"/>
      <c r="M337" s="170"/>
      <c r="N337" s="170"/>
      <c r="O337" s="170"/>
      <c r="P337" s="170"/>
      <c r="Q337" s="170"/>
      <c r="R337" s="170"/>
      <c r="S337" s="170"/>
      <c r="T337" s="170"/>
      <c r="U337" s="170"/>
      <c r="V337" s="170"/>
      <c r="W337" s="170"/>
      <c r="X337" s="170"/>
      <c r="Y337" s="170"/>
      <c r="Z337" s="170"/>
      <c r="AA337" s="170"/>
      <c r="AB337" s="170"/>
      <c r="AC337" s="170"/>
      <c r="AD337" s="170"/>
      <c r="AE337" s="170"/>
      <c r="AF337" s="170"/>
      <c r="AG337" s="170"/>
      <c r="AH337" s="170"/>
      <c r="AI337" s="170"/>
      <c r="AJ337" s="170"/>
      <c r="AK337" s="170"/>
      <c r="AL337" s="170"/>
      <c r="AM337" s="170"/>
      <c r="AN337" s="170"/>
      <c r="AO337" s="170"/>
      <c r="AP337" s="170"/>
      <c r="AQ337" s="170"/>
      <c r="AR337" s="170"/>
      <c r="AS337" s="170"/>
      <c r="AT337" s="170"/>
      <c r="AU337" s="170"/>
      <c r="AV337" s="170"/>
      <c r="AW337" s="170"/>
      <c r="AX337" s="170"/>
      <c r="AY337" s="170"/>
    </row>
    <row r="338" spans="1:51" ht="15">
      <c r="A338" s="170"/>
      <c r="B338" s="175"/>
      <c r="C338" s="179" t="s">
        <v>678</v>
      </c>
      <c r="D338" s="172" t="s">
        <v>698</v>
      </c>
      <c r="E338" s="172">
        <v>1</v>
      </c>
      <c r="F338" s="101">
        <v>16.27</v>
      </c>
      <c r="G338" s="101">
        <v>0.9</v>
      </c>
      <c r="H338" s="101"/>
      <c r="I338" s="176"/>
      <c r="J338" s="163">
        <f t="shared" si="30"/>
        <v>15.37</v>
      </c>
      <c r="K338" s="223"/>
      <c r="L338" s="170"/>
      <c r="M338" s="170"/>
      <c r="N338" s="170"/>
      <c r="O338" s="170"/>
      <c r="P338" s="170"/>
      <c r="Q338" s="170"/>
      <c r="R338" s="170"/>
      <c r="S338" s="170"/>
      <c r="T338" s="170"/>
      <c r="U338" s="170"/>
      <c r="V338" s="170"/>
      <c r="W338" s="170"/>
      <c r="X338" s="170"/>
      <c r="Y338" s="170"/>
      <c r="Z338" s="170"/>
      <c r="AA338" s="170"/>
      <c r="AB338" s="170"/>
      <c r="AC338" s="170"/>
      <c r="AD338" s="170"/>
      <c r="AE338" s="170"/>
      <c r="AF338" s="170"/>
      <c r="AG338" s="170"/>
      <c r="AH338" s="170"/>
      <c r="AI338" s="170"/>
      <c r="AJ338" s="170"/>
      <c r="AK338" s="170"/>
      <c r="AL338" s="170"/>
      <c r="AM338" s="170"/>
      <c r="AN338" s="170"/>
      <c r="AO338" s="170"/>
      <c r="AP338" s="170"/>
      <c r="AQ338" s="170"/>
      <c r="AR338" s="170"/>
      <c r="AS338" s="170"/>
      <c r="AT338" s="170"/>
      <c r="AU338" s="170"/>
      <c r="AV338" s="170"/>
      <c r="AW338" s="170"/>
      <c r="AX338" s="170"/>
      <c r="AY338" s="170"/>
    </row>
    <row r="339" spans="1:51" s="171" customFormat="1" ht="15">
      <c r="A339" s="170"/>
      <c r="B339" s="175"/>
      <c r="C339" s="179" t="s">
        <v>678</v>
      </c>
      <c r="D339" s="172" t="s">
        <v>698</v>
      </c>
      <c r="E339" s="172">
        <v>1</v>
      </c>
      <c r="F339" s="101">
        <v>22.45</v>
      </c>
      <c r="G339" s="101">
        <v>0.9</v>
      </c>
      <c r="H339" s="101"/>
      <c r="I339" s="176"/>
      <c r="J339" s="163">
        <f t="shared" si="30"/>
        <v>21.55</v>
      </c>
      <c r="K339" s="223"/>
      <c r="L339" s="170"/>
      <c r="M339" s="170"/>
      <c r="N339" s="170"/>
      <c r="O339" s="170"/>
      <c r="P339" s="170"/>
      <c r="Q339" s="170"/>
      <c r="R339" s="170"/>
      <c r="S339" s="170"/>
      <c r="T339" s="170"/>
      <c r="U339" s="170"/>
      <c r="V339" s="170"/>
      <c r="W339" s="170"/>
      <c r="X339" s="170"/>
      <c r="Y339" s="170"/>
      <c r="Z339" s="170"/>
      <c r="AA339" s="170"/>
      <c r="AB339" s="170"/>
      <c r="AC339" s="170"/>
      <c r="AD339" s="170"/>
      <c r="AE339" s="170"/>
      <c r="AF339" s="170"/>
      <c r="AG339" s="170"/>
      <c r="AH339" s="170"/>
      <c r="AI339" s="170"/>
      <c r="AJ339" s="170"/>
      <c r="AK339" s="170"/>
      <c r="AL339" s="170"/>
      <c r="AM339" s="170"/>
      <c r="AN339" s="170"/>
      <c r="AO339" s="170"/>
      <c r="AP339" s="170"/>
      <c r="AQ339" s="170"/>
      <c r="AR339" s="170"/>
      <c r="AS339" s="170"/>
      <c r="AT339" s="170"/>
      <c r="AU339" s="170"/>
      <c r="AV339" s="170"/>
      <c r="AW339" s="170"/>
      <c r="AX339" s="170"/>
      <c r="AY339" s="170"/>
    </row>
    <row r="340" spans="1:51" s="171" customFormat="1" ht="15">
      <c r="A340" s="170"/>
      <c r="B340" s="175"/>
      <c r="C340" s="179"/>
      <c r="D340" s="172"/>
      <c r="E340" s="172"/>
      <c r="F340" s="101"/>
      <c r="G340" s="101"/>
      <c r="H340" s="101"/>
      <c r="I340" s="176"/>
      <c r="J340" s="163"/>
      <c r="K340" s="223"/>
      <c r="L340" s="170"/>
      <c r="M340" s="170"/>
      <c r="N340" s="170"/>
      <c r="O340" s="170"/>
      <c r="P340" s="170"/>
      <c r="Q340" s="170"/>
      <c r="R340" s="170"/>
      <c r="S340" s="170"/>
      <c r="T340" s="170"/>
      <c r="U340" s="170"/>
      <c r="V340" s="170"/>
      <c r="W340" s="170"/>
      <c r="X340" s="170"/>
      <c r="Y340" s="170"/>
      <c r="Z340" s="170"/>
      <c r="AA340" s="170"/>
      <c r="AB340" s="170"/>
      <c r="AC340" s="170"/>
      <c r="AD340" s="170"/>
      <c r="AE340" s="170"/>
      <c r="AF340" s="170"/>
      <c r="AG340" s="170"/>
      <c r="AH340" s="170"/>
      <c r="AI340" s="170"/>
      <c r="AJ340" s="170"/>
      <c r="AK340" s="170"/>
      <c r="AL340" s="170"/>
      <c r="AM340" s="170"/>
      <c r="AN340" s="170"/>
      <c r="AO340" s="170"/>
      <c r="AP340" s="170"/>
      <c r="AQ340" s="170"/>
      <c r="AR340" s="170"/>
      <c r="AS340" s="170"/>
      <c r="AT340" s="170"/>
      <c r="AU340" s="170"/>
      <c r="AV340" s="170"/>
      <c r="AW340" s="170"/>
      <c r="AX340" s="170"/>
      <c r="AY340" s="170"/>
    </row>
    <row r="341" spans="1:51" s="171" customFormat="1" ht="51">
      <c r="A341" s="170"/>
      <c r="B341" s="175" t="s">
        <v>700</v>
      </c>
      <c r="C341" s="299" t="s">
        <v>1091</v>
      </c>
      <c r="D341" s="172" t="s">
        <v>649</v>
      </c>
      <c r="E341" s="172"/>
      <c r="F341" s="101"/>
      <c r="G341" s="101"/>
      <c r="H341" s="101"/>
      <c r="I341" s="176"/>
      <c r="J341" s="163">
        <f>SUM(J342:J345)</f>
        <v>47.169999999999995</v>
      </c>
      <c r="K341" s="223"/>
      <c r="L341" s="170"/>
      <c r="M341" s="170"/>
      <c r="N341" s="170"/>
      <c r="O341" s="170"/>
      <c r="P341" s="170"/>
      <c r="Q341" s="170"/>
      <c r="R341" s="170"/>
      <c r="S341" s="170"/>
      <c r="T341" s="170"/>
      <c r="U341" s="170"/>
      <c r="V341" s="170"/>
      <c r="W341" s="170"/>
      <c r="X341" s="170"/>
      <c r="Y341" s="170"/>
      <c r="Z341" s="170"/>
      <c r="AA341" s="170"/>
      <c r="AB341" s="170"/>
      <c r="AC341" s="170"/>
      <c r="AD341" s="170"/>
      <c r="AE341" s="170"/>
      <c r="AF341" s="170"/>
      <c r="AG341" s="170"/>
      <c r="AH341" s="170"/>
      <c r="AI341" s="170"/>
      <c r="AJ341" s="170"/>
      <c r="AK341" s="170"/>
      <c r="AL341" s="170"/>
      <c r="AM341" s="170"/>
      <c r="AN341" s="170"/>
      <c r="AO341" s="170"/>
      <c r="AP341" s="170"/>
      <c r="AQ341" s="170"/>
      <c r="AR341" s="170"/>
      <c r="AS341" s="170"/>
      <c r="AT341" s="170"/>
      <c r="AU341" s="170"/>
      <c r="AV341" s="170"/>
      <c r="AW341" s="170"/>
      <c r="AX341" s="170"/>
      <c r="AY341" s="170"/>
    </row>
    <row r="342" spans="1:51" s="171" customFormat="1" ht="15">
      <c r="A342" s="170"/>
      <c r="B342" s="175"/>
      <c r="C342" s="179" t="s">
        <v>670</v>
      </c>
      <c r="D342" s="172" t="s">
        <v>698</v>
      </c>
      <c r="E342" s="172">
        <v>1</v>
      </c>
      <c r="F342" s="101">
        <v>16.649999999999999</v>
      </c>
      <c r="G342" s="101">
        <v>0.9</v>
      </c>
      <c r="H342" s="101"/>
      <c r="I342" s="176"/>
      <c r="J342" s="163">
        <f>F342-G342</f>
        <v>15.749999999999998</v>
      </c>
      <c r="K342" s="223"/>
      <c r="L342" s="170"/>
      <c r="M342" s="170"/>
      <c r="N342" s="170"/>
      <c r="O342" s="170"/>
      <c r="P342" s="170"/>
      <c r="Q342" s="170"/>
      <c r="R342" s="170"/>
      <c r="S342" s="170"/>
      <c r="T342" s="170"/>
      <c r="U342" s="170"/>
      <c r="V342" s="170"/>
      <c r="W342" s="170"/>
      <c r="X342" s="170"/>
      <c r="Y342" s="170"/>
      <c r="Z342" s="170"/>
      <c r="AA342" s="170"/>
      <c r="AB342" s="170"/>
      <c r="AC342" s="170"/>
      <c r="AD342" s="170"/>
      <c r="AE342" s="170"/>
      <c r="AF342" s="170"/>
      <c r="AG342" s="170"/>
      <c r="AH342" s="170"/>
      <c r="AI342" s="170"/>
      <c r="AJ342" s="170"/>
      <c r="AK342" s="170"/>
      <c r="AL342" s="170"/>
      <c r="AM342" s="170"/>
      <c r="AN342" s="170"/>
      <c r="AO342" s="170"/>
      <c r="AP342" s="170"/>
      <c r="AQ342" s="170"/>
      <c r="AR342" s="170"/>
      <c r="AS342" s="170"/>
      <c r="AT342" s="170"/>
      <c r="AU342" s="170"/>
      <c r="AV342" s="170"/>
      <c r="AW342" s="170"/>
      <c r="AX342" s="170"/>
      <c r="AY342" s="170"/>
    </row>
    <row r="343" spans="1:51" s="171" customFormat="1" ht="15">
      <c r="A343" s="170"/>
      <c r="B343" s="175"/>
      <c r="C343" s="179" t="s">
        <v>671</v>
      </c>
      <c r="D343" s="172" t="s">
        <v>698</v>
      </c>
      <c r="E343" s="172">
        <v>1</v>
      </c>
      <c r="F343" s="101">
        <v>15.2</v>
      </c>
      <c r="G343" s="101">
        <v>0.9</v>
      </c>
      <c r="H343" s="101"/>
      <c r="I343" s="176"/>
      <c r="J343" s="163">
        <f>F343-G343</f>
        <v>14.299999999999999</v>
      </c>
      <c r="K343" s="223"/>
      <c r="L343" s="170"/>
      <c r="M343" s="170"/>
      <c r="N343" s="170"/>
      <c r="O343" s="170"/>
      <c r="P343" s="170"/>
      <c r="Q343" s="170"/>
      <c r="R343" s="170"/>
      <c r="S343" s="170"/>
      <c r="T343" s="170"/>
      <c r="U343" s="170"/>
      <c r="V343" s="170"/>
      <c r="W343" s="170"/>
      <c r="X343" s="170"/>
      <c r="Y343" s="170"/>
      <c r="Z343" s="170"/>
      <c r="AA343" s="170"/>
      <c r="AB343" s="170"/>
      <c r="AC343" s="170"/>
      <c r="AD343" s="170"/>
      <c r="AE343" s="170"/>
      <c r="AF343" s="170"/>
      <c r="AG343" s="170"/>
      <c r="AH343" s="170"/>
      <c r="AI343" s="170"/>
      <c r="AJ343" s="170"/>
      <c r="AK343" s="170"/>
      <c r="AL343" s="170"/>
      <c r="AM343" s="170"/>
      <c r="AN343" s="170"/>
      <c r="AO343" s="170"/>
      <c r="AP343" s="170"/>
      <c r="AQ343" s="170"/>
      <c r="AR343" s="170"/>
      <c r="AS343" s="170"/>
      <c r="AT343" s="170"/>
      <c r="AU343" s="170"/>
      <c r="AV343" s="170"/>
      <c r="AW343" s="170"/>
      <c r="AX343" s="170"/>
      <c r="AY343" s="170"/>
    </row>
    <row r="344" spans="1:51" s="171" customFormat="1" ht="15">
      <c r="A344" s="170"/>
      <c r="B344" s="175"/>
      <c r="C344" s="179" t="s">
        <v>673</v>
      </c>
      <c r="D344" s="172" t="s">
        <v>698</v>
      </c>
      <c r="E344" s="172">
        <v>1</v>
      </c>
      <c r="F344" s="101">
        <v>9.6999999999999993</v>
      </c>
      <c r="G344" s="101">
        <v>0.9</v>
      </c>
      <c r="H344" s="101"/>
      <c r="I344" s="176"/>
      <c r="J344" s="163">
        <f>F344-G344</f>
        <v>8.7999999999999989</v>
      </c>
      <c r="K344" s="223"/>
      <c r="L344" s="170"/>
      <c r="M344" s="170"/>
      <c r="N344" s="170"/>
      <c r="O344" s="170"/>
      <c r="P344" s="170"/>
      <c r="Q344" s="170"/>
      <c r="R344" s="170"/>
      <c r="S344" s="170"/>
      <c r="T344" s="170"/>
      <c r="U344" s="170"/>
      <c r="V344" s="170"/>
      <c r="W344" s="170"/>
      <c r="X344" s="170"/>
      <c r="Y344" s="170"/>
      <c r="Z344" s="170"/>
      <c r="AA344" s="170"/>
      <c r="AB344" s="170"/>
      <c r="AC344" s="170"/>
      <c r="AD344" s="170"/>
      <c r="AE344" s="170"/>
      <c r="AF344" s="170"/>
      <c r="AG344" s="170"/>
      <c r="AH344" s="170"/>
      <c r="AI344" s="170"/>
      <c r="AJ344" s="170"/>
      <c r="AK344" s="170"/>
      <c r="AL344" s="170"/>
      <c r="AM344" s="170"/>
      <c r="AN344" s="170"/>
      <c r="AO344" s="170"/>
      <c r="AP344" s="170"/>
      <c r="AQ344" s="170"/>
      <c r="AR344" s="170"/>
      <c r="AS344" s="170"/>
      <c r="AT344" s="170"/>
      <c r="AU344" s="170"/>
      <c r="AV344" s="170"/>
      <c r="AW344" s="170"/>
      <c r="AX344" s="170"/>
      <c r="AY344" s="170"/>
    </row>
    <row r="345" spans="1:51" s="171" customFormat="1" ht="15">
      <c r="A345" s="170"/>
      <c r="B345" s="175"/>
      <c r="C345" s="179" t="s">
        <v>673</v>
      </c>
      <c r="D345" s="172" t="s">
        <v>698</v>
      </c>
      <c r="E345" s="172">
        <v>1</v>
      </c>
      <c r="F345" s="101">
        <v>9.2200000000000006</v>
      </c>
      <c r="G345" s="101">
        <v>0.9</v>
      </c>
      <c r="H345" s="101"/>
      <c r="I345" s="176"/>
      <c r="J345" s="163">
        <f>F345-G345</f>
        <v>8.32</v>
      </c>
      <c r="K345" s="223"/>
      <c r="L345" s="170"/>
      <c r="M345" s="170"/>
      <c r="N345" s="170"/>
      <c r="O345" s="170"/>
      <c r="P345" s="170"/>
      <c r="Q345" s="170"/>
      <c r="R345" s="170"/>
      <c r="S345" s="170"/>
      <c r="T345" s="170"/>
      <c r="U345" s="170"/>
      <c r="V345" s="170"/>
      <c r="W345" s="170"/>
      <c r="X345" s="170"/>
      <c r="Y345" s="170"/>
      <c r="Z345" s="170"/>
      <c r="AA345" s="170"/>
      <c r="AB345" s="170"/>
      <c r="AC345" s="170"/>
      <c r="AD345" s="170"/>
      <c r="AE345" s="170"/>
      <c r="AF345" s="170"/>
      <c r="AG345" s="170"/>
      <c r="AH345" s="170"/>
      <c r="AI345" s="170"/>
      <c r="AJ345" s="170"/>
      <c r="AK345" s="170"/>
      <c r="AL345" s="170"/>
      <c r="AM345" s="170"/>
      <c r="AN345" s="170"/>
      <c r="AO345" s="170"/>
      <c r="AP345" s="170"/>
      <c r="AQ345" s="170"/>
      <c r="AR345" s="170"/>
      <c r="AS345" s="170"/>
      <c r="AT345" s="170"/>
      <c r="AU345" s="170"/>
      <c r="AV345" s="170"/>
      <c r="AW345" s="170"/>
      <c r="AX345" s="170"/>
      <c r="AY345" s="170"/>
    </row>
    <row r="346" spans="1:51" s="171" customFormat="1" ht="15">
      <c r="A346" s="170"/>
      <c r="B346" s="175"/>
      <c r="C346" s="179"/>
      <c r="D346" s="172"/>
      <c r="E346" s="172"/>
      <c r="F346" s="101"/>
      <c r="G346" s="101"/>
      <c r="H346" s="101"/>
      <c r="I346" s="176"/>
      <c r="J346" s="163"/>
      <c r="K346" s="223"/>
      <c r="L346" s="170"/>
      <c r="M346" s="170"/>
      <c r="N346" s="170"/>
      <c r="O346" s="170"/>
      <c r="P346" s="170"/>
      <c r="Q346" s="170"/>
      <c r="R346" s="170"/>
      <c r="S346" s="170"/>
      <c r="T346" s="170"/>
      <c r="U346" s="170"/>
      <c r="V346" s="170"/>
      <c r="W346" s="170"/>
      <c r="X346" s="170"/>
      <c r="Y346" s="170"/>
      <c r="Z346" s="170"/>
      <c r="AA346" s="170"/>
      <c r="AB346" s="170"/>
      <c r="AC346" s="170"/>
      <c r="AD346" s="170"/>
      <c r="AE346" s="170"/>
      <c r="AF346" s="170"/>
      <c r="AG346" s="170"/>
      <c r="AH346" s="170"/>
      <c r="AI346" s="170"/>
      <c r="AJ346" s="170"/>
      <c r="AK346" s="170"/>
      <c r="AL346" s="170"/>
      <c r="AM346" s="170"/>
      <c r="AN346" s="170"/>
      <c r="AO346" s="170"/>
      <c r="AP346" s="170"/>
      <c r="AQ346" s="170"/>
      <c r="AR346" s="170"/>
      <c r="AS346" s="170"/>
      <c r="AT346" s="170"/>
      <c r="AU346" s="170"/>
      <c r="AV346" s="170"/>
      <c r="AW346" s="170"/>
      <c r="AX346" s="170"/>
      <c r="AY346" s="170"/>
    </row>
    <row r="347" spans="1:51" s="171" customFormat="1" ht="15">
      <c r="A347" s="170"/>
      <c r="B347" s="175" t="s">
        <v>705</v>
      </c>
      <c r="C347" s="176" t="s">
        <v>701</v>
      </c>
      <c r="D347" s="172"/>
      <c r="E347" s="172"/>
      <c r="F347" s="101"/>
      <c r="G347" s="101"/>
      <c r="H347" s="101"/>
      <c r="I347" s="176"/>
      <c r="J347" s="163">
        <f>SUM(J348:J351)</f>
        <v>3.6</v>
      </c>
      <c r="K347" s="223"/>
      <c r="L347" s="170"/>
      <c r="M347" s="170"/>
      <c r="N347" s="170"/>
      <c r="O347" s="170"/>
      <c r="P347" s="170"/>
      <c r="Q347" s="170"/>
      <c r="R347" s="170"/>
      <c r="S347" s="170"/>
      <c r="T347" s="170"/>
      <c r="U347" s="170"/>
      <c r="V347" s="170"/>
      <c r="W347" s="170"/>
      <c r="X347" s="170"/>
      <c r="Y347" s="170"/>
      <c r="Z347" s="170"/>
      <c r="AA347" s="170"/>
      <c r="AB347" s="170"/>
      <c r="AC347" s="170"/>
      <c r="AD347" s="170"/>
      <c r="AE347" s="170"/>
      <c r="AF347" s="170"/>
      <c r="AG347" s="170"/>
      <c r="AH347" s="170"/>
      <c r="AI347" s="170"/>
      <c r="AJ347" s="170"/>
      <c r="AK347" s="170"/>
      <c r="AL347" s="170"/>
      <c r="AM347" s="170"/>
      <c r="AN347" s="170"/>
      <c r="AO347" s="170"/>
      <c r="AP347" s="170"/>
      <c r="AQ347" s="170"/>
      <c r="AR347" s="170"/>
      <c r="AS347" s="170"/>
      <c r="AT347" s="170"/>
      <c r="AU347" s="170"/>
      <c r="AV347" s="170"/>
      <c r="AW347" s="170"/>
      <c r="AX347" s="170"/>
      <c r="AY347" s="170"/>
    </row>
    <row r="348" spans="1:51" s="171" customFormat="1" ht="15">
      <c r="A348" s="170"/>
      <c r="B348" s="175"/>
      <c r="C348" s="179" t="s">
        <v>702</v>
      </c>
      <c r="D348" s="172" t="s">
        <v>698</v>
      </c>
      <c r="E348" s="172">
        <v>1</v>
      </c>
      <c r="F348" s="101"/>
      <c r="G348" s="101">
        <v>0.9</v>
      </c>
      <c r="H348" s="101"/>
      <c r="I348" s="176"/>
      <c r="J348" s="163">
        <f>E348*G348</f>
        <v>0.9</v>
      </c>
      <c r="K348" s="223"/>
      <c r="L348" s="170"/>
      <c r="M348" s="170"/>
      <c r="N348" s="170"/>
      <c r="O348" s="170"/>
      <c r="P348" s="170"/>
      <c r="Q348" s="170"/>
      <c r="R348" s="170"/>
      <c r="S348" s="170"/>
      <c r="T348" s="170"/>
      <c r="U348" s="170"/>
      <c r="V348" s="170"/>
      <c r="W348" s="170"/>
      <c r="X348" s="170"/>
      <c r="Y348" s="170"/>
      <c r="Z348" s="170"/>
      <c r="AA348" s="170"/>
      <c r="AB348" s="170"/>
      <c r="AC348" s="170"/>
      <c r="AD348" s="170"/>
      <c r="AE348" s="170"/>
      <c r="AF348" s="170"/>
      <c r="AG348" s="170"/>
      <c r="AH348" s="170"/>
      <c r="AI348" s="170"/>
      <c r="AJ348" s="170"/>
      <c r="AK348" s="170"/>
      <c r="AL348" s="170"/>
      <c r="AM348" s="170"/>
      <c r="AN348" s="170"/>
      <c r="AO348" s="170"/>
      <c r="AP348" s="170"/>
      <c r="AQ348" s="170"/>
      <c r="AR348" s="170"/>
      <c r="AS348" s="170"/>
      <c r="AT348" s="170"/>
      <c r="AU348" s="170"/>
      <c r="AV348" s="170"/>
      <c r="AW348" s="170"/>
      <c r="AX348" s="170"/>
      <c r="AY348" s="170"/>
    </row>
    <row r="349" spans="1:51" s="171" customFormat="1" ht="15">
      <c r="A349" s="170"/>
      <c r="B349" s="175"/>
      <c r="C349" s="179" t="s">
        <v>703</v>
      </c>
      <c r="D349" s="172" t="s">
        <v>698</v>
      </c>
      <c r="E349" s="172">
        <v>1</v>
      </c>
      <c r="F349" s="101"/>
      <c r="G349" s="101">
        <v>0.9</v>
      </c>
      <c r="H349" s="101"/>
      <c r="I349" s="176"/>
      <c r="J349" s="163">
        <f t="shared" ref="J349:J351" si="31">E349*G349</f>
        <v>0.9</v>
      </c>
      <c r="K349" s="223"/>
      <c r="L349" s="170"/>
      <c r="M349" s="170"/>
      <c r="N349" s="170"/>
      <c r="O349" s="170"/>
      <c r="P349" s="170"/>
      <c r="Q349" s="170"/>
      <c r="R349" s="170"/>
      <c r="S349" s="170"/>
      <c r="T349" s="170"/>
      <c r="U349" s="170"/>
      <c r="V349" s="170"/>
      <c r="W349" s="170"/>
      <c r="X349" s="170"/>
      <c r="Y349" s="170"/>
      <c r="Z349" s="170"/>
      <c r="AA349" s="170"/>
      <c r="AB349" s="170"/>
      <c r="AC349" s="170"/>
      <c r="AD349" s="170"/>
      <c r="AE349" s="170"/>
      <c r="AF349" s="170"/>
      <c r="AG349" s="170"/>
      <c r="AH349" s="170"/>
      <c r="AI349" s="170"/>
      <c r="AJ349" s="170"/>
      <c r="AK349" s="170"/>
      <c r="AL349" s="170"/>
      <c r="AM349" s="170"/>
      <c r="AN349" s="170"/>
      <c r="AO349" s="170"/>
      <c r="AP349" s="170"/>
      <c r="AQ349" s="170"/>
      <c r="AR349" s="170"/>
      <c r="AS349" s="170"/>
      <c r="AT349" s="170"/>
      <c r="AU349" s="170"/>
      <c r="AV349" s="170"/>
      <c r="AW349" s="170"/>
      <c r="AX349" s="170"/>
      <c r="AY349" s="170"/>
    </row>
    <row r="350" spans="1:51" s="171" customFormat="1" ht="15">
      <c r="A350" s="170"/>
      <c r="B350" s="175"/>
      <c r="C350" s="179" t="s">
        <v>704</v>
      </c>
      <c r="D350" s="172" t="s">
        <v>698</v>
      </c>
      <c r="E350" s="172">
        <v>1</v>
      </c>
      <c r="F350" s="101"/>
      <c r="G350" s="101">
        <v>0.9</v>
      </c>
      <c r="H350" s="101"/>
      <c r="I350" s="176"/>
      <c r="J350" s="163">
        <f t="shared" si="31"/>
        <v>0.9</v>
      </c>
      <c r="K350" s="223"/>
      <c r="L350" s="170"/>
      <c r="M350" s="170"/>
      <c r="N350" s="170"/>
      <c r="O350" s="170"/>
      <c r="P350" s="170"/>
      <c r="Q350" s="170"/>
      <c r="R350" s="170"/>
      <c r="S350" s="170"/>
      <c r="T350" s="170"/>
      <c r="U350" s="170"/>
      <c r="V350" s="170"/>
      <c r="W350" s="170"/>
      <c r="X350" s="170"/>
      <c r="Y350" s="170"/>
      <c r="Z350" s="170"/>
      <c r="AA350" s="170"/>
      <c r="AB350" s="170"/>
      <c r="AC350" s="170"/>
      <c r="AD350" s="170"/>
      <c r="AE350" s="170"/>
      <c r="AF350" s="170"/>
      <c r="AG350" s="170"/>
      <c r="AH350" s="170"/>
      <c r="AI350" s="170"/>
      <c r="AJ350" s="170"/>
      <c r="AK350" s="170"/>
      <c r="AL350" s="170"/>
      <c r="AM350" s="170"/>
      <c r="AN350" s="170"/>
      <c r="AO350" s="170"/>
      <c r="AP350" s="170"/>
      <c r="AQ350" s="170"/>
      <c r="AR350" s="170"/>
      <c r="AS350" s="170"/>
      <c r="AT350" s="170"/>
      <c r="AU350" s="170"/>
      <c r="AV350" s="170"/>
      <c r="AW350" s="170"/>
      <c r="AX350" s="170"/>
      <c r="AY350" s="170"/>
    </row>
    <row r="351" spans="1:51" s="171" customFormat="1" ht="15">
      <c r="A351" s="170"/>
      <c r="B351" s="175"/>
      <c r="C351" s="179" t="s">
        <v>673</v>
      </c>
      <c r="D351" s="172" t="s">
        <v>698</v>
      </c>
      <c r="E351" s="172">
        <v>1</v>
      </c>
      <c r="F351" s="101"/>
      <c r="G351" s="101">
        <v>0.9</v>
      </c>
      <c r="H351" s="101"/>
      <c r="I351" s="176"/>
      <c r="J351" s="163">
        <f t="shared" si="31"/>
        <v>0.9</v>
      </c>
      <c r="K351" s="223"/>
      <c r="L351" s="170"/>
      <c r="M351" s="170"/>
      <c r="N351" s="170"/>
      <c r="O351" s="170"/>
      <c r="P351" s="170"/>
      <c r="Q351" s="170"/>
      <c r="R351" s="170"/>
      <c r="S351" s="170"/>
      <c r="T351" s="170"/>
      <c r="U351" s="170"/>
      <c r="V351" s="170"/>
      <c r="W351" s="170"/>
      <c r="X351" s="170"/>
      <c r="Y351" s="170"/>
      <c r="Z351" s="170"/>
      <c r="AA351" s="170"/>
      <c r="AB351" s="170"/>
      <c r="AC351" s="170"/>
      <c r="AD351" s="170"/>
      <c r="AE351" s="170"/>
      <c r="AF351" s="170"/>
      <c r="AG351" s="170"/>
      <c r="AH351" s="170"/>
      <c r="AI351" s="170"/>
      <c r="AJ351" s="170"/>
      <c r="AK351" s="170"/>
      <c r="AL351" s="170"/>
      <c r="AM351" s="170"/>
      <c r="AN351" s="170"/>
      <c r="AO351" s="170"/>
      <c r="AP351" s="170"/>
      <c r="AQ351" s="170"/>
      <c r="AR351" s="170"/>
      <c r="AS351" s="170"/>
      <c r="AT351" s="170"/>
      <c r="AU351" s="170"/>
      <c r="AV351" s="170"/>
      <c r="AW351" s="170"/>
      <c r="AX351" s="170"/>
      <c r="AY351" s="170"/>
    </row>
    <row r="352" spans="1:51" s="171" customFormat="1" ht="15">
      <c r="A352" s="170"/>
      <c r="B352" s="175"/>
      <c r="C352" s="179"/>
      <c r="D352" s="172"/>
      <c r="E352" s="172"/>
      <c r="F352" s="101"/>
      <c r="G352" s="101"/>
      <c r="H352" s="101"/>
      <c r="I352" s="176"/>
      <c r="J352" s="163"/>
      <c r="K352" s="223"/>
      <c r="L352" s="170"/>
      <c r="M352" s="170"/>
      <c r="N352" s="170"/>
      <c r="O352" s="170"/>
      <c r="P352" s="170"/>
      <c r="Q352" s="170"/>
      <c r="R352" s="170"/>
      <c r="S352" s="170"/>
      <c r="T352" s="170"/>
      <c r="U352" s="170"/>
      <c r="V352" s="170"/>
      <c r="W352" s="170"/>
      <c r="X352" s="170"/>
      <c r="Y352" s="170"/>
      <c r="Z352" s="170"/>
      <c r="AA352" s="170"/>
      <c r="AB352" s="170"/>
      <c r="AC352" s="170"/>
      <c r="AD352" s="170"/>
      <c r="AE352" s="170"/>
      <c r="AF352" s="170"/>
      <c r="AG352" s="170"/>
      <c r="AH352" s="170"/>
      <c r="AI352" s="170"/>
      <c r="AJ352" s="170"/>
      <c r="AK352" s="170"/>
      <c r="AL352" s="170"/>
      <c r="AM352" s="170"/>
      <c r="AN352" s="170"/>
      <c r="AO352" s="170"/>
      <c r="AP352" s="170"/>
      <c r="AQ352" s="170"/>
      <c r="AR352" s="170"/>
      <c r="AS352" s="170"/>
      <c r="AT352" s="170"/>
      <c r="AU352" s="170"/>
      <c r="AV352" s="170"/>
      <c r="AW352" s="170"/>
      <c r="AX352" s="170"/>
      <c r="AY352" s="170"/>
    </row>
    <row r="353" spans="1:51" s="171" customFormat="1" ht="25.5">
      <c r="A353" s="170"/>
      <c r="B353" s="175" t="s">
        <v>1090</v>
      </c>
      <c r="C353" s="278" t="s">
        <v>1107</v>
      </c>
      <c r="D353" s="172" t="s">
        <v>689</v>
      </c>
      <c r="E353" s="172"/>
      <c r="F353" s="101"/>
      <c r="G353" s="101"/>
      <c r="H353" s="101"/>
      <c r="I353" s="176"/>
      <c r="J353" s="167">
        <f>SUM(J354:J355)</f>
        <v>15.4375</v>
      </c>
      <c r="K353" s="223"/>
      <c r="L353" s="170"/>
      <c r="M353" s="170"/>
      <c r="N353" s="170"/>
      <c r="O353" s="170"/>
      <c r="P353" s="170"/>
      <c r="Q353" s="170"/>
      <c r="R353" s="170"/>
      <c r="S353" s="170"/>
      <c r="T353" s="170"/>
      <c r="U353" s="170"/>
      <c r="V353" s="170"/>
      <c r="W353" s="170"/>
      <c r="X353" s="170"/>
      <c r="Y353" s="170"/>
      <c r="Z353" s="170"/>
      <c r="AA353" s="170"/>
      <c r="AB353" s="170"/>
      <c r="AC353" s="170"/>
      <c r="AD353" s="170"/>
      <c r="AE353" s="170"/>
      <c r="AF353" s="170"/>
      <c r="AG353" s="170"/>
      <c r="AH353" s="170"/>
      <c r="AI353" s="170"/>
      <c r="AJ353" s="170"/>
      <c r="AK353" s="170"/>
      <c r="AL353" s="170"/>
      <c r="AM353" s="170"/>
      <c r="AN353" s="170"/>
      <c r="AO353" s="170"/>
      <c r="AP353" s="170"/>
      <c r="AQ353" s="170"/>
      <c r="AR353" s="170"/>
      <c r="AS353" s="170"/>
      <c r="AT353" s="170"/>
      <c r="AU353" s="170"/>
      <c r="AV353" s="170"/>
      <c r="AW353" s="170"/>
      <c r="AX353" s="170"/>
      <c r="AY353" s="170"/>
    </row>
    <row r="354" spans="1:51" s="171" customFormat="1" ht="15">
      <c r="A354" s="170"/>
      <c r="B354" s="175"/>
      <c r="C354" s="180" t="s">
        <v>707</v>
      </c>
      <c r="D354" s="172"/>
      <c r="E354" s="172"/>
      <c r="F354" s="101">
        <v>0.25</v>
      </c>
      <c r="G354" s="101">
        <v>24.25</v>
      </c>
      <c r="H354" s="101"/>
      <c r="I354" s="176" t="s">
        <v>1096</v>
      </c>
      <c r="J354" s="167">
        <f>F354*G354</f>
        <v>6.0625</v>
      </c>
      <c r="K354" s="223"/>
      <c r="L354" s="170"/>
      <c r="M354" s="170"/>
      <c r="N354" s="170"/>
      <c r="O354" s="170"/>
      <c r="P354" s="170"/>
      <c r="Q354" s="170"/>
      <c r="R354" s="170"/>
      <c r="S354" s="170"/>
      <c r="T354" s="170"/>
      <c r="U354" s="170"/>
      <c r="V354" s="170"/>
      <c r="W354" s="170"/>
      <c r="X354" s="170"/>
      <c r="Y354" s="170"/>
      <c r="Z354" s="170"/>
      <c r="AA354" s="170"/>
      <c r="AB354" s="170"/>
      <c r="AC354" s="170"/>
      <c r="AD354" s="170"/>
      <c r="AE354" s="170"/>
      <c r="AF354" s="170"/>
      <c r="AG354" s="170"/>
      <c r="AH354" s="170"/>
      <c r="AI354" s="170"/>
      <c r="AJ354" s="170"/>
      <c r="AK354" s="170"/>
      <c r="AL354" s="170"/>
      <c r="AM354" s="170"/>
      <c r="AN354" s="170"/>
      <c r="AO354" s="170"/>
      <c r="AP354" s="170"/>
      <c r="AQ354" s="170"/>
      <c r="AR354" s="170"/>
      <c r="AS354" s="170"/>
      <c r="AT354" s="170"/>
      <c r="AU354" s="170"/>
      <c r="AV354" s="170"/>
      <c r="AW354" s="170"/>
      <c r="AX354" s="170"/>
      <c r="AY354" s="170"/>
    </row>
    <row r="355" spans="1:51" s="171" customFormat="1" ht="15">
      <c r="A355" s="170"/>
      <c r="B355" s="175"/>
      <c r="C355" s="180" t="s">
        <v>709</v>
      </c>
      <c r="D355" s="172"/>
      <c r="E355" s="172"/>
      <c r="F355" s="101">
        <v>0.25</v>
      </c>
      <c r="G355" s="101">
        <v>37.5</v>
      </c>
      <c r="H355" s="101"/>
      <c r="I355" s="176" t="s">
        <v>1096</v>
      </c>
      <c r="J355" s="167">
        <f>F355*G355</f>
        <v>9.375</v>
      </c>
      <c r="K355" s="223"/>
      <c r="L355" s="170"/>
      <c r="M355" s="170"/>
      <c r="N355" s="170"/>
      <c r="O355" s="170"/>
      <c r="P355" s="170"/>
      <c r="Q355" s="170"/>
      <c r="R355" s="170"/>
      <c r="S355" s="170"/>
      <c r="T355" s="170"/>
      <c r="U355" s="170"/>
      <c r="V355" s="170"/>
      <c r="W355" s="170"/>
      <c r="X355" s="170"/>
      <c r="Y355" s="170"/>
      <c r="Z355" s="170"/>
      <c r="AA355" s="170"/>
      <c r="AB355" s="170"/>
      <c r="AC355" s="170"/>
      <c r="AD355" s="170"/>
      <c r="AE355" s="170"/>
      <c r="AF355" s="170"/>
      <c r="AG355" s="170"/>
      <c r="AH355" s="170"/>
      <c r="AI355" s="170"/>
      <c r="AJ355" s="170"/>
      <c r="AK355" s="170"/>
      <c r="AL355" s="170"/>
      <c r="AM355" s="170"/>
      <c r="AN355" s="170"/>
      <c r="AO355" s="170"/>
      <c r="AP355" s="170"/>
      <c r="AQ355" s="170"/>
      <c r="AR355" s="170"/>
      <c r="AS355" s="170"/>
      <c r="AT355" s="170"/>
      <c r="AU355" s="170"/>
      <c r="AV355" s="170"/>
      <c r="AW355" s="170"/>
      <c r="AX355" s="170"/>
      <c r="AY355" s="170"/>
    </row>
    <row r="356" spans="1:51" ht="15">
      <c r="A356" s="170"/>
      <c r="B356" s="125" t="s">
        <v>710</v>
      </c>
      <c r="C356" s="173" t="s">
        <v>711</v>
      </c>
      <c r="D356" s="173"/>
      <c r="E356" s="173"/>
      <c r="F356" s="108"/>
      <c r="G356" s="108"/>
      <c r="H356" s="108"/>
      <c r="I356" s="72"/>
      <c r="J356" s="128"/>
      <c r="K356" s="223"/>
      <c r="L356" s="170"/>
      <c r="M356" s="170"/>
      <c r="N356" s="170"/>
      <c r="O356" s="170"/>
      <c r="P356" s="170"/>
      <c r="Q356" s="170"/>
      <c r="R356" s="170"/>
      <c r="S356" s="170"/>
      <c r="T356" s="170"/>
      <c r="U356" s="170"/>
      <c r="V356" s="170"/>
      <c r="W356" s="170"/>
      <c r="X356" s="170"/>
      <c r="Y356" s="170"/>
      <c r="Z356" s="170"/>
      <c r="AA356" s="170"/>
      <c r="AB356" s="170"/>
      <c r="AC356" s="170"/>
      <c r="AD356" s="170"/>
      <c r="AE356" s="170"/>
      <c r="AF356" s="170"/>
      <c r="AG356" s="170"/>
      <c r="AH356" s="170"/>
      <c r="AI356" s="170"/>
      <c r="AJ356" s="170"/>
      <c r="AK356" s="170"/>
      <c r="AL356" s="170"/>
      <c r="AM356" s="170"/>
      <c r="AN356" s="170"/>
      <c r="AO356" s="170"/>
      <c r="AP356" s="170"/>
      <c r="AQ356" s="170"/>
      <c r="AR356" s="170"/>
      <c r="AS356" s="170"/>
      <c r="AT356" s="170"/>
      <c r="AU356" s="170"/>
      <c r="AV356" s="170"/>
      <c r="AW356" s="170"/>
      <c r="AX356" s="170"/>
      <c r="AY356" s="170"/>
    </row>
    <row r="357" spans="1:51">
      <c r="A357" s="170"/>
      <c r="B357" s="175" t="s">
        <v>712</v>
      </c>
      <c r="C357" s="176" t="s">
        <v>713</v>
      </c>
      <c r="D357" s="172" t="s">
        <v>689</v>
      </c>
      <c r="E357" s="172"/>
      <c r="F357" s="101"/>
      <c r="G357" s="101"/>
      <c r="H357" s="101"/>
      <c r="I357" s="176" t="s">
        <v>708</v>
      </c>
      <c r="J357" s="300">
        <f>SUM(J358:J365)</f>
        <v>103.206</v>
      </c>
      <c r="K357" s="223"/>
      <c r="L357" s="170"/>
      <c r="M357" s="170"/>
      <c r="N357" s="170"/>
      <c r="O357" s="170"/>
      <c r="P357" s="170"/>
      <c r="Q357" s="170"/>
      <c r="R357" s="170"/>
      <c r="S357" s="170"/>
      <c r="T357" s="170"/>
      <c r="U357" s="170"/>
      <c r="V357" s="170"/>
      <c r="W357" s="170"/>
      <c r="X357" s="170"/>
      <c r="Y357" s="170"/>
      <c r="Z357" s="170"/>
      <c r="AA357" s="170"/>
      <c r="AB357" s="170"/>
      <c r="AC357" s="170"/>
      <c r="AD357" s="170"/>
      <c r="AE357" s="170"/>
      <c r="AF357" s="170"/>
      <c r="AG357" s="170"/>
      <c r="AH357" s="170"/>
      <c r="AI357" s="170"/>
      <c r="AJ357" s="170"/>
      <c r="AK357" s="170"/>
      <c r="AL357" s="170"/>
      <c r="AM357" s="170"/>
      <c r="AN357" s="170"/>
      <c r="AO357" s="170"/>
      <c r="AP357" s="170"/>
      <c r="AQ357" s="170"/>
      <c r="AR357" s="170"/>
      <c r="AS357" s="170"/>
      <c r="AT357" s="170"/>
      <c r="AU357" s="170"/>
      <c r="AV357" s="170"/>
      <c r="AW357" s="170"/>
      <c r="AX357" s="170"/>
      <c r="AY357" s="170"/>
    </row>
    <row r="358" spans="1:51" s="171" customFormat="1" ht="15">
      <c r="A358" s="170"/>
      <c r="B358" s="175"/>
      <c r="C358" s="176"/>
      <c r="D358" s="172"/>
      <c r="E358" s="172"/>
      <c r="F358" s="101">
        <v>0.7</v>
      </c>
      <c r="G358" s="101">
        <v>45.25</v>
      </c>
      <c r="H358" s="101"/>
      <c r="I358" s="176"/>
      <c r="J358" s="167">
        <f t="shared" ref="J358:J365" si="32">F358*G358</f>
        <v>31.674999999999997</v>
      </c>
      <c r="K358" s="223"/>
      <c r="L358" s="170"/>
      <c r="M358" s="170"/>
      <c r="N358" s="170"/>
      <c r="O358" s="170"/>
      <c r="P358" s="170"/>
      <c r="Q358" s="170"/>
      <c r="R358" s="170"/>
      <c r="S358" s="170"/>
      <c r="T358" s="170"/>
      <c r="U358" s="170"/>
      <c r="V358" s="170"/>
      <c r="W358" s="170"/>
      <c r="X358" s="170"/>
      <c r="Y358" s="170"/>
      <c r="Z358" s="170"/>
      <c r="AA358" s="170"/>
      <c r="AB358" s="170"/>
      <c r="AC358" s="170"/>
      <c r="AD358" s="170"/>
      <c r="AE358" s="170"/>
      <c r="AF358" s="170"/>
      <c r="AG358" s="170"/>
      <c r="AH358" s="170"/>
      <c r="AI358" s="170"/>
      <c r="AJ358" s="170"/>
      <c r="AK358" s="170"/>
      <c r="AL358" s="170"/>
      <c r="AM358" s="170"/>
      <c r="AN358" s="170"/>
      <c r="AO358" s="170"/>
      <c r="AP358" s="170"/>
      <c r="AQ358" s="170"/>
      <c r="AR358" s="170"/>
      <c r="AS358" s="170"/>
      <c r="AT358" s="170"/>
      <c r="AU358" s="170"/>
      <c r="AV358" s="170"/>
      <c r="AW358" s="170"/>
      <c r="AX358" s="170"/>
      <c r="AY358" s="170"/>
    </row>
    <row r="359" spans="1:51" s="171" customFormat="1" ht="15">
      <c r="A359" s="170"/>
      <c r="B359" s="175"/>
      <c r="C359" s="176"/>
      <c r="D359" s="172"/>
      <c r="E359" s="172"/>
      <c r="F359" s="101">
        <v>0.9</v>
      </c>
      <c r="G359" s="101">
        <v>1.96</v>
      </c>
      <c r="H359" s="101"/>
      <c r="I359" s="176"/>
      <c r="J359" s="167">
        <f t="shared" si="32"/>
        <v>1.764</v>
      </c>
      <c r="K359" s="223"/>
      <c r="L359" s="170"/>
      <c r="M359" s="170"/>
      <c r="N359" s="170"/>
      <c r="O359" s="170"/>
      <c r="P359" s="170"/>
      <c r="Q359" s="170"/>
      <c r="R359" s="170"/>
      <c r="S359" s="170"/>
      <c r="T359" s="170"/>
      <c r="U359" s="170"/>
      <c r="V359" s="170"/>
      <c r="W359" s="170"/>
      <c r="X359" s="170"/>
      <c r="Y359" s="170"/>
      <c r="Z359" s="170"/>
      <c r="AA359" s="170"/>
      <c r="AB359" s="170"/>
      <c r="AC359" s="170"/>
      <c r="AD359" s="170"/>
      <c r="AE359" s="170"/>
      <c r="AF359" s="170"/>
      <c r="AG359" s="170"/>
      <c r="AH359" s="170"/>
      <c r="AI359" s="170"/>
      <c r="AJ359" s="170"/>
      <c r="AK359" s="170"/>
      <c r="AL359" s="170"/>
      <c r="AM359" s="170"/>
      <c r="AN359" s="170"/>
      <c r="AO359" s="170"/>
      <c r="AP359" s="170"/>
      <c r="AQ359" s="170"/>
      <c r="AR359" s="170"/>
      <c r="AS359" s="170"/>
      <c r="AT359" s="170"/>
      <c r="AU359" s="170"/>
      <c r="AV359" s="170"/>
      <c r="AW359" s="170"/>
      <c r="AX359" s="170"/>
      <c r="AY359" s="170"/>
    </row>
    <row r="360" spans="1:51" s="171" customFormat="1" ht="15">
      <c r="A360" s="170"/>
      <c r="B360" s="175"/>
      <c r="C360" s="176"/>
      <c r="D360" s="172"/>
      <c r="E360" s="172"/>
      <c r="F360" s="101">
        <v>0.7</v>
      </c>
      <c r="G360" s="101">
        <v>5.71</v>
      </c>
      <c r="H360" s="101"/>
      <c r="I360" s="176"/>
      <c r="J360" s="167">
        <f t="shared" si="32"/>
        <v>3.9969999999999999</v>
      </c>
      <c r="K360" s="223"/>
      <c r="L360" s="170"/>
      <c r="M360" s="170"/>
      <c r="N360" s="170"/>
      <c r="O360" s="170"/>
      <c r="P360" s="170"/>
      <c r="Q360" s="170"/>
      <c r="R360" s="170"/>
      <c r="S360" s="170"/>
      <c r="T360" s="170"/>
      <c r="U360" s="170"/>
      <c r="V360" s="170"/>
      <c r="W360" s="170"/>
      <c r="X360" s="170"/>
      <c r="Y360" s="170"/>
      <c r="Z360" s="170"/>
      <c r="AA360" s="170"/>
      <c r="AB360" s="170"/>
      <c r="AC360" s="170"/>
      <c r="AD360" s="170"/>
      <c r="AE360" s="170"/>
      <c r="AF360" s="170"/>
      <c r="AG360" s="170"/>
      <c r="AH360" s="170"/>
      <c r="AI360" s="170"/>
      <c r="AJ360" s="170"/>
      <c r="AK360" s="170"/>
      <c r="AL360" s="170"/>
      <c r="AM360" s="170"/>
      <c r="AN360" s="170"/>
      <c r="AO360" s="170"/>
      <c r="AP360" s="170"/>
      <c r="AQ360" s="170"/>
      <c r="AR360" s="170"/>
      <c r="AS360" s="170"/>
      <c r="AT360" s="170"/>
      <c r="AU360" s="170"/>
      <c r="AV360" s="170"/>
      <c r="AW360" s="170"/>
      <c r="AX360" s="170"/>
      <c r="AY360" s="170"/>
    </row>
    <row r="361" spans="1:51" s="171" customFormat="1" ht="15">
      <c r="A361" s="170"/>
      <c r="B361" s="175"/>
      <c r="C361" s="176"/>
      <c r="D361" s="172"/>
      <c r="E361" s="172"/>
      <c r="F361" s="101">
        <v>0.7</v>
      </c>
      <c r="G361" s="101">
        <v>6.35</v>
      </c>
      <c r="H361" s="101"/>
      <c r="I361" s="176"/>
      <c r="J361" s="167">
        <f t="shared" si="32"/>
        <v>4.4449999999999994</v>
      </c>
      <c r="K361" s="223"/>
      <c r="L361" s="170"/>
      <c r="M361" s="170"/>
      <c r="N361" s="170"/>
      <c r="O361" s="170"/>
      <c r="P361" s="170"/>
      <c r="Q361" s="170"/>
      <c r="R361" s="170"/>
      <c r="S361" s="170"/>
      <c r="T361" s="170"/>
      <c r="U361" s="170"/>
      <c r="V361" s="170"/>
      <c r="W361" s="170"/>
      <c r="X361" s="170"/>
      <c r="Y361" s="170"/>
      <c r="Z361" s="170"/>
      <c r="AA361" s="170"/>
      <c r="AB361" s="170"/>
      <c r="AC361" s="170"/>
      <c r="AD361" s="170"/>
      <c r="AE361" s="170"/>
      <c r="AF361" s="170"/>
      <c r="AG361" s="170"/>
      <c r="AH361" s="170"/>
      <c r="AI361" s="170"/>
      <c r="AJ361" s="170"/>
      <c r="AK361" s="170"/>
      <c r="AL361" s="170"/>
      <c r="AM361" s="170"/>
      <c r="AN361" s="170"/>
      <c r="AO361" s="170"/>
      <c r="AP361" s="170"/>
      <c r="AQ361" s="170"/>
      <c r="AR361" s="170"/>
      <c r="AS361" s="170"/>
      <c r="AT361" s="170"/>
      <c r="AU361" s="170"/>
      <c r="AV361" s="170"/>
      <c r="AW361" s="170"/>
      <c r="AX361" s="170"/>
      <c r="AY361" s="170"/>
    </row>
    <row r="362" spans="1:51" s="171" customFormat="1" ht="15">
      <c r="A362" s="170"/>
      <c r="B362" s="175"/>
      <c r="C362" s="176"/>
      <c r="D362" s="172"/>
      <c r="E362" s="172"/>
      <c r="F362" s="101">
        <v>0.7</v>
      </c>
      <c r="G362" s="101">
        <v>5.71</v>
      </c>
      <c r="H362" s="101"/>
      <c r="I362" s="176"/>
      <c r="J362" s="167">
        <f t="shared" si="32"/>
        <v>3.9969999999999999</v>
      </c>
      <c r="K362" s="223"/>
      <c r="L362" s="170"/>
      <c r="M362" s="170"/>
      <c r="N362" s="170"/>
      <c r="O362" s="170"/>
      <c r="P362" s="170"/>
      <c r="Q362" s="170"/>
      <c r="R362" s="170"/>
      <c r="S362" s="170"/>
      <c r="T362" s="170"/>
      <c r="U362" s="170"/>
      <c r="V362" s="170"/>
      <c r="W362" s="170"/>
      <c r="X362" s="170"/>
      <c r="Y362" s="170"/>
      <c r="Z362" s="170"/>
      <c r="AA362" s="170"/>
      <c r="AB362" s="170"/>
      <c r="AC362" s="170"/>
      <c r="AD362" s="170"/>
      <c r="AE362" s="170"/>
      <c r="AF362" s="170"/>
      <c r="AG362" s="170"/>
      <c r="AH362" s="170"/>
      <c r="AI362" s="170"/>
      <c r="AJ362" s="170"/>
      <c r="AK362" s="170"/>
      <c r="AL362" s="170"/>
      <c r="AM362" s="170"/>
      <c r="AN362" s="170"/>
      <c r="AO362" s="170"/>
      <c r="AP362" s="170"/>
      <c r="AQ362" s="170"/>
      <c r="AR362" s="170"/>
      <c r="AS362" s="170"/>
      <c r="AT362" s="170"/>
      <c r="AU362" s="170"/>
      <c r="AV362" s="170"/>
      <c r="AW362" s="170"/>
      <c r="AX362" s="170"/>
      <c r="AY362" s="170"/>
    </row>
    <row r="363" spans="1:51" s="171" customFormat="1" ht="15">
      <c r="A363" s="170"/>
      <c r="B363" s="175"/>
      <c r="C363" s="176"/>
      <c r="D363" s="172"/>
      <c r="E363" s="172"/>
      <c r="F363" s="101">
        <v>0.9</v>
      </c>
      <c r="G363" s="101">
        <v>13.66</v>
      </c>
      <c r="H363" s="101"/>
      <c r="I363" s="176"/>
      <c r="J363" s="167">
        <f t="shared" si="32"/>
        <v>12.294</v>
      </c>
      <c r="K363" s="223"/>
      <c r="L363" s="170"/>
      <c r="M363" s="170"/>
      <c r="N363" s="170"/>
      <c r="O363" s="170"/>
      <c r="P363" s="170"/>
      <c r="Q363" s="170"/>
      <c r="R363" s="170"/>
      <c r="S363" s="170"/>
      <c r="T363" s="170"/>
      <c r="U363" s="170"/>
      <c r="V363" s="170"/>
      <c r="W363" s="170"/>
      <c r="X363" s="170"/>
      <c r="Y363" s="170"/>
      <c r="Z363" s="170"/>
      <c r="AA363" s="170"/>
      <c r="AB363" s="170"/>
      <c r="AC363" s="170"/>
      <c r="AD363" s="170"/>
      <c r="AE363" s="170"/>
      <c r="AF363" s="170"/>
      <c r="AG363" s="170"/>
      <c r="AH363" s="170"/>
      <c r="AI363" s="170"/>
      <c r="AJ363" s="170"/>
      <c r="AK363" s="170"/>
      <c r="AL363" s="170"/>
      <c r="AM363" s="170"/>
      <c r="AN363" s="170"/>
      <c r="AO363" s="170"/>
      <c r="AP363" s="170"/>
      <c r="AQ363" s="170"/>
      <c r="AR363" s="170"/>
      <c r="AS363" s="170"/>
      <c r="AT363" s="170"/>
      <c r="AU363" s="170"/>
      <c r="AV363" s="170"/>
      <c r="AW363" s="170"/>
      <c r="AX363" s="170"/>
      <c r="AY363" s="170"/>
    </row>
    <row r="364" spans="1:51" s="171" customFormat="1" ht="15">
      <c r="A364" s="170"/>
      <c r="B364" s="175"/>
      <c r="C364" s="176"/>
      <c r="D364" s="172"/>
      <c r="E364" s="172"/>
      <c r="F364" s="101">
        <v>0.66</v>
      </c>
      <c r="G364" s="101">
        <v>45.25</v>
      </c>
      <c r="H364" s="101"/>
      <c r="I364" s="176"/>
      <c r="J364" s="167">
        <f t="shared" si="32"/>
        <v>29.865000000000002</v>
      </c>
      <c r="K364" s="223"/>
      <c r="L364" s="170"/>
      <c r="M364" s="170"/>
      <c r="N364" s="170"/>
      <c r="O364" s="170"/>
      <c r="P364" s="170"/>
      <c r="Q364" s="170"/>
      <c r="R364" s="170"/>
      <c r="S364" s="170"/>
      <c r="T364" s="170"/>
      <c r="U364" s="170"/>
      <c r="V364" s="170"/>
      <c r="W364" s="170"/>
      <c r="X364" s="170"/>
      <c r="Y364" s="170"/>
      <c r="Z364" s="170"/>
      <c r="AA364" s="170"/>
      <c r="AB364" s="170"/>
      <c r="AC364" s="170"/>
      <c r="AD364" s="170"/>
      <c r="AE364" s="170"/>
      <c r="AF364" s="170"/>
      <c r="AG364" s="170"/>
      <c r="AH364" s="170"/>
      <c r="AI364" s="170"/>
      <c r="AJ364" s="170"/>
      <c r="AK364" s="170"/>
      <c r="AL364" s="170"/>
      <c r="AM364" s="170"/>
      <c r="AN364" s="170"/>
      <c r="AO364" s="170"/>
      <c r="AP364" s="170"/>
      <c r="AQ364" s="170"/>
      <c r="AR364" s="170"/>
      <c r="AS364" s="170"/>
      <c r="AT364" s="170"/>
      <c r="AU364" s="170"/>
      <c r="AV364" s="170"/>
      <c r="AW364" s="170"/>
      <c r="AX364" s="170"/>
      <c r="AY364" s="170"/>
    </row>
    <row r="365" spans="1:51" s="171" customFormat="1" ht="15">
      <c r="A365" s="170"/>
      <c r="B365" s="175"/>
      <c r="C365" s="176"/>
      <c r="D365" s="172"/>
      <c r="E365" s="172"/>
      <c r="F365" s="101">
        <v>0.7</v>
      </c>
      <c r="G365" s="101">
        <v>21.67</v>
      </c>
      <c r="H365" s="101"/>
      <c r="I365" s="176"/>
      <c r="J365" s="167">
        <f t="shared" si="32"/>
        <v>15.169</v>
      </c>
      <c r="K365" s="223"/>
      <c r="L365" s="170"/>
      <c r="M365" s="170"/>
      <c r="N365" s="170"/>
      <c r="O365" s="170"/>
      <c r="P365" s="170"/>
      <c r="Q365" s="170"/>
      <c r="R365" s="170"/>
      <c r="S365" s="170"/>
      <c r="T365" s="170"/>
      <c r="U365" s="170"/>
      <c r="V365" s="170"/>
      <c r="W365" s="170"/>
      <c r="X365" s="170"/>
      <c r="Y365" s="170"/>
      <c r="Z365" s="170"/>
      <c r="AA365" s="170"/>
      <c r="AB365" s="170"/>
      <c r="AC365" s="170"/>
      <c r="AD365" s="170"/>
      <c r="AE365" s="170"/>
      <c r="AF365" s="170"/>
      <c r="AG365" s="170"/>
      <c r="AH365" s="170"/>
      <c r="AI365" s="170"/>
      <c r="AJ365" s="170"/>
      <c r="AK365" s="170"/>
      <c r="AL365" s="170"/>
      <c r="AM365" s="170"/>
      <c r="AN365" s="170"/>
      <c r="AO365" s="170"/>
      <c r="AP365" s="170"/>
      <c r="AQ365" s="170"/>
      <c r="AR365" s="170"/>
      <c r="AS365" s="170"/>
      <c r="AT365" s="170"/>
      <c r="AU365" s="170"/>
      <c r="AV365" s="170"/>
      <c r="AW365" s="170"/>
      <c r="AX365" s="170"/>
      <c r="AY365" s="170"/>
    </row>
    <row r="366" spans="1:51" s="171" customFormat="1">
      <c r="A366" s="170"/>
      <c r="B366" s="175"/>
      <c r="C366" s="176"/>
      <c r="D366" s="172"/>
      <c r="E366" s="172"/>
      <c r="F366" s="101"/>
      <c r="G366" s="101"/>
      <c r="H366" s="101"/>
      <c r="I366" s="176"/>
      <c r="J366" s="301"/>
      <c r="K366" s="223"/>
      <c r="L366" s="170"/>
      <c r="M366" s="170"/>
      <c r="N366" s="170"/>
      <c r="O366" s="170"/>
      <c r="P366" s="170"/>
      <c r="Q366" s="170"/>
      <c r="R366" s="170"/>
      <c r="S366" s="170"/>
      <c r="T366" s="170"/>
      <c r="U366" s="170"/>
      <c r="V366" s="170"/>
      <c r="W366" s="170"/>
      <c r="X366" s="170"/>
      <c r="Y366" s="170"/>
      <c r="Z366" s="170"/>
      <c r="AA366" s="170"/>
      <c r="AB366" s="170"/>
      <c r="AC366" s="170"/>
      <c r="AD366" s="170"/>
      <c r="AE366" s="170"/>
      <c r="AF366" s="170"/>
      <c r="AG366" s="170"/>
      <c r="AH366" s="170"/>
      <c r="AI366" s="170"/>
      <c r="AJ366" s="170"/>
      <c r="AK366" s="170"/>
      <c r="AL366" s="170"/>
      <c r="AM366" s="170"/>
      <c r="AN366" s="170"/>
      <c r="AO366" s="170"/>
      <c r="AP366" s="170"/>
      <c r="AQ366" s="170"/>
      <c r="AR366" s="170"/>
      <c r="AS366" s="170"/>
      <c r="AT366" s="170"/>
      <c r="AU366" s="170"/>
      <c r="AV366" s="170"/>
      <c r="AW366" s="170"/>
      <c r="AX366" s="170"/>
      <c r="AY366" s="170"/>
    </row>
    <row r="367" spans="1:51" ht="25.5">
      <c r="A367" s="170"/>
      <c r="B367" s="175" t="s">
        <v>714</v>
      </c>
      <c r="C367" s="278" t="s">
        <v>715</v>
      </c>
      <c r="D367" s="172" t="s">
        <v>689</v>
      </c>
      <c r="E367" s="172"/>
      <c r="F367" s="101">
        <v>13.66</v>
      </c>
      <c r="G367" s="101">
        <v>5.53</v>
      </c>
      <c r="H367" s="101"/>
      <c r="I367" s="176" t="s">
        <v>1093</v>
      </c>
      <c r="J367" s="164">
        <f>F367*G367</f>
        <v>75.5398</v>
      </c>
      <c r="K367" s="223"/>
      <c r="L367" s="170"/>
      <c r="M367" s="170"/>
      <c r="N367" s="170"/>
      <c r="O367" s="170"/>
      <c r="P367" s="170"/>
      <c r="Q367" s="170"/>
      <c r="R367" s="170"/>
      <c r="S367" s="170"/>
      <c r="T367" s="170"/>
      <c r="U367" s="170"/>
      <c r="V367" s="170"/>
      <c r="W367" s="170"/>
      <c r="X367" s="170"/>
      <c r="Y367" s="170"/>
      <c r="Z367" s="170"/>
      <c r="AA367" s="170"/>
      <c r="AB367" s="170"/>
      <c r="AC367" s="170"/>
      <c r="AD367" s="170"/>
      <c r="AE367" s="170"/>
      <c r="AF367" s="170"/>
      <c r="AG367" s="170"/>
      <c r="AH367" s="170"/>
      <c r="AI367" s="170"/>
      <c r="AJ367" s="170"/>
      <c r="AK367" s="170"/>
      <c r="AL367" s="170"/>
      <c r="AM367" s="170"/>
      <c r="AN367" s="170"/>
      <c r="AO367" s="170"/>
      <c r="AP367" s="170"/>
      <c r="AQ367" s="170"/>
      <c r="AR367" s="170"/>
      <c r="AS367" s="170"/>
      <c r="AT367" s="170"/>
      <c r="AU367" s="170"/>
      <c r="AV367" s="170"/>
      <c r="AW367" s="170"/>
      <c r="AX367" s="170"/>
      <c r="AY367" s="170"/>
    </row>
    <row r="368" spans="1:51" s="171" customFormat="1" ht="15">
      <c r="A368" s="170"/>
      <c r="B368" s="175"/>
      <c r="C368" s="278"/>
      <c r="D368" s="172"/>
      <c r="E368" s="172"/>
      <c r="F368" s="101"/>
      <c r="G368" s="101"/>
      <c r="H368" s="101"/>
      <c r="I368" s="176"/>
      <c r="J368" s="164"/>
      <c r="K368" s="223"/>
      <c r="L368" s="170"/>
      <c r="M368" s="170"/>
      <c r="N368" s="170"/>
      <c r="O368" s="170"/>
      <c r="P368" s="170"/>
      <c r="Q368" s="170"/>
      <c r="R368" s="170"/>
      <c r="S368" s="170"/>
      <c r="T368" s="170"/>
      <c r="U368" s="170"/>
      <c r="V368" s="170"/>
      <c r="W368" s="170"/>
      <c r="X368" s="170"/>
      <c r="Y368" s="170"/>
      <c r="Z368" s="170"/>
      <c r="AA368" s="170"/>
      <c r="AB368" s="170"/>
      <c r="AC368" s="170"/>
      <c r="AD368" s="170"/>
      <c r="AE368" s="170"/>
      <c r="AF368" s="170"/>
      <c r="AG368" s="170"/>
      <c r="AH368" s="170"/>
      <c r="AI368" s="170"/>
      <c r="AJ368" s="170"/>
      <c r="AK368" s="170"/>
      <c r="AL368" s="170"/>
      <c r="AM368" s="170"/>
      <c r="AN368" s="170"/>
      <c r="AO368" s="170"/>
      <c r="AP368" s="170"/>
      <c r="AQ368" s="170"/>
      <c r="AR368" s="170"/>
      <c r="AS368" s="170"/>
      <c r="AT368" s="170"/>
      <c r="AU368" s="170"/>
      <c r="AV368" s="170"/>
      <c r="AW368" s="170"/>
      <c r="AX368" s="170"/>
      <c r="AY368" s="170"/>
    </row>
    <row r="369" spans="1:51" ht="25.5">
      <c r="A369" s="170"/>
      <c r="B369" s="175" t="s">
        <v>716</v>
      </c>
      <c r="C369" s="278" t="s">
        <v>1108</v>
      </c>
      <c r="D369" s="172" t="s">
        <v>689</v>
      </c>
      <c r="E369" s="172"/>
      <c r="F369" s="101"/>
      <c r="G369" s="101"/>
      <c r="H369" s="101"/>
      <c r="I369" s="176"/>
      <c r="J369" s="164">
        <f>SUM(J370:J371)</f>
        <v>1.125</v>
      </c>
      <c r="K369" s="223"/>
      <c r="L369" s="170"/>
      <c r="M369" s="170"/>
      <c r="N369" s="170"/>
      <c r="O369" s="170"/>
      <c r="P369" s="170"/>
      <c r="Q369" s="170"/>
      <c r="R369" s="170"/>
      <c r="S369" s="170"/>
      <c r="T369" s="170"/>
      <c r="U369" s="170"/>
      <c r="V369" s="170"/>
      <c r="W369" s="170"/>
      <c r="X369" s="170"/>
      <c r="Y369" s="170"/>
      <c r="Z369" s="170"/>
      <c r="AA369" s="170"/>
      <c r="AB369" s="170"/>
      <c r="AC369" s="170"/>
      <c r="AD369" s="170"/>
      <c r="AE369" s="170"/>
      <c r="AF369" s="170"/>
      <c r="AG369" s="170"/>
      <c r="AH369" s="170"/>
      <c r="AI369" s="170"/>
      <c r="AJ369" s="170"/>
      <c r="AK369" s="170"/>
      <c r="AL369" s="170"/>
      <c r="AM369" s="170"/>
      <c r="AN369" s="170"/>
      <c r="AO369" s="170"/>
      <c r="AP369" s="170"/>
      <c r="AQ369" s="170"/>
      <c r="AR369" s="170"/>
      <c r="AS369" s="170"/>
      <c r="AT369" s="170"/>
      <c r="AU369" s="170"/>
      <c r="AV369" s="170"/>
      <c r="AW369" s="170"/>
      <c r="AX369" s="170"/>
      <c r="AY369" s="170"/>
    </row>
    <row r="370" spans="1:51" s="171" customFormat="1" ht="15">
      <c r="A370" s="170"/>
      <c r="B370" s="175"/>
      <c r="C370" s="180" t="s">
        <v>707</v>
      </c>
      <c r="D370" s="172"/>
      <c r="E370" s="172"/>
      <c r="F370" s="101">
        <v>0.25</v>
      </c>
      <c r="G370" s="101">
        <f>10*0.25</f>
        <v>2.5</v>
      </c>
      <c r="H370" s="101"/>
      <c r="I370" s="176" t="s">
        <v>1095</v>
      </c>
      <c r="J370" s="164">
        <f>F370*G370</f>
        <v>0.625</v>
      </c>
      <c r="K370" s="223"/>
      <c r="L370" s="170"/>
      <c r="M370" s="170"/>
      <c r="N370" s="170"/>
      <c r="O370" s="170"/>
      <c r="P370" s="170"/>
      <c r="Q370" s="170"/>
      <c r="R370" s="170"/>
      <c r="S370" s="170"/>
      <c r="T370" s="170"/>
      <c r="U370" s="170"/>
      <c r="V370" s="170"/>
      <c r="W370" s="170"/>
      <c r="X370" s="170"/>
      <c r="Y370" s="170"/>
      <c r="Z370" s="170"/>
      <c r="AA370" s="170"/>
      <c r="AB370" s="170"/>
      <c r="AC370" s="170"/>
      <c r="AD370" s="170"/>
      <c r="AE370" s="170"/>
      <c r="AF370" s="170"/>
      <c r="AG370" s="170"/>
      <c r="AH370" s="170"/>
      <c r="AI370" s="170"/>
      <c r="AJ370" s="170"/>
      <c r="AK370" s="170"/>
      <c r="AL370" s="170"/>
      <c r="AM370" s="170"/>
      <c r="AN370" s="170"/>
      <c r="AO370" s="170"/>
      <c r="AP370" s="170"/>
      <c r="AQ370" s="170"/>
      <c r="AR370" s="170"/>
      <c r="AS370" s="170"/>
      <c r="AT370" s="170"/>
      <c r="AU370" s="170"/>
      <c r="AV370" s="170"/>
      <c r="AW370" s="170"/>
      <c r="AX370" s="170"/>
      <c r="AY370" s="170"/>
    </row>
    <row r="371" spans="1:51" s="171" customFormat="1" ht="15">
      <c r="A371" s="170"/>
      <c r="B371" s="175"/>
      <c r="C371" s="180" t="s">
        <v>709</v>
      </c>
      <c r="D371" s="172"/>
      <c r="E371" s="172"/>
      <c r="F371" s="101">
        <v>0.25</v>
      </c>
      <c r="G371" s="101">
        <f>8*0.25</f>
        <v>2</v>
      </c>
      <c r="H371" s="101"/>
      <c r="I371" s="176" t="s">
        <v>1095</v>
      </c>
      <c r="J371" s="164">
        <f>F371*G371</f>
        <v>0.5</v>
      </c>
      <c r="K371" s="223"/>
      <c r="L371" s="170"/>
      <c r="M371" s="170"/>
      <c r="N371" s="170"/>
      <c r="O371" s="170"/>
      <c r="P371" s="170"/>
      <c r="Q371" s="170"/>
      <c r="R371" s="170"/>
      <c r="S371" s="170"/>
      <c r="T371" s="170"/>
      <c r="U371" s="170"/>
      <c r="V371" s="170"/>
      <c r="W371" s="170"/>
      <c r="X371" s="170"/>
      <c r="Y371" s="170"/>
      <c r="Z371" s="170"/>
      <c r="AA371" s="170"/>
      <c r="AB371" s="170"/>
      <c r="AC371" s="170"/>
      <c r="AD371" s="170"/>
      <c r="AE371" s="170"/>
      <c r="AF371" s="170"/>
      <c r="AG371" s="170"/>
      <c r="AH371" s="170"/>
      <c r="AI371" s="170"/>
      <c r="AJ371" s="170"/>
      <c r="AK371" s="170"/>
      <c r="AL371" s="170"/>
      <c r="AM371" s="170"/>
      <c r="AN371" s="170"/>
      <c r="AO371" s="170"/>
      <c r="AP371" s="170"/>
      <c r="AQ371" s="170"/>
      <c r="AR371" s="170"/>
      <c r="AS371" s="170"/>
      <c r="AT371" s="170"/>
      <c r="AU371" s="170"/>
      <c r="AV371" s="170"/>
      <c r="AW371" s="170"/>
      <c r="AX371" s="170"/>
      <c r="AY371" s="170"/>
    </row>
    <row r="372" spans="1:51" s="171" customFormat="1" ht="15">
      <c r="A372" s="170"/>
      <c r="B372" s="175"/>
      <c r="C372" s="180"/>
      <c r="D372" s="172"/>
      <c r="E372" s="172"/>
      <c r="F372" s="101"/>
      <c r="G372" s="101"/>
      <c r="H372" s="101"/>
      <c r="I372" s="176"/>
      <c r="J372" s="164"/>
      <c r="K372" s="223"/>
      <c r="L372" s="170"/>
      <c r="M372" s="170"/>
      <c r="N372" s="170"/>
      <c r="O372" s="170"/>
      <c r="P372" s="170"/>
      <c r="Q372" s="170"/>
      <c r="R372" s="170"/>
      <c r="S372" s="170"/>
      <c r="T372" s="170"/>
      <c r="U372" s="170"/>
      <c r="V372" s="170"/>
      <c r="W372" s="170"/>
      <c r="X372" s="170"/>
      <c r="Y372" s="170"/>
      <c r="Z372" s="170"/>
      <c r="AA372" s="170"/>
      <c r="AB372" s="170"/>
      <c r="AC372" s="170"/>
      <c r="AD372" s="170"/>
      <c r="AE372" s="170"/>
      <c r="AF372" s="170"/>
      <c r="AG372" s="170"/>
      <c r="AH372" s="170"/>
      <c r="AI372" s="170"/>
      <c r="AJ372" s="170"/>
      <c r="AK372" s="170"/>
      <c r="AL372" s="170"/>
      <c r="AM372" s="170"/>
      <c r="AN372" s="170"/>
      <c r="AO372" s="170"/>
      <c r="AP372" s="170"/>
      <c r="AQ372" s="170"/>
      <c r="AR372" s="170"/>
      <c r="AS372" s="170"/>
      <c r="AT372" s="170"/>
      <c r="AU372" s="170"/>
      <c r="AV372" s="170"/>
      <c r="AW372" s="170"/>
      <c r="AX372" s="170"/>
      <c r="AY372" s="170"/>
    </row>
    <row r="373" spans="1:51" ht="25.5">
      <c r="A373" s="170"/>
      <c r="B373" s="175" t="s">
        <v>718</v>
      </c>
      <c r="C373" s="278" t="s">
        <v>719</v>
      </c>
      <c r="D373" s="172" t="s">
        <v>698</v>
      </c>
      <c r="E373" s="172">
        <v>1</v>
      </c>
      <c r="F373" s="101"/>
      <c r="G373" s="101">
        <v>151.47999999999999</v>
      </c>
      <c r="H373" s="101"/>
      <c r="I373" s="176" t="s">
        <v>1112</v>
      </c>
      <c r="J373" s="164">
        <f>SUM(J374:J376)</f>
        <v>171.79999999999998</v>
      </c>
      <c r="K373" s="223"/>
      <c r="L373" s="170"/>
      <c r="M373" s="170"/>
      <c r="N373" s="170"/>
      <c r="O373" s="170"/>
      <c r="P373" s="170"/>
      <c r="Q373" s="170"/>
      <c r="R373" s="170"/>
      <c r="S373" s="170"/>
      <c r="T373" s="170"/>
      <c r="U373" s="170"/>
      <c r="V373" s="170"/>
      <c r="W373" s="170"/>
      <c r="X373" s="170"/>
      <c r="Y373" s="170"/>
      <c r="Z373" s="170"/>
      <c r="AA373" s="170"/>
      <c r="AB373" s="170"/>
      <c r="AC373" s="170"/>
      <c r="AD373" s="170"/>
      <c r="AE373" s="170"/>
      <c r="AF373" s="170"/>
      <c r="AG373" s="170"/>
      <c r="AH373" s="170"/>
      <c r="AI373" s="170"/>
      <c r="AJ373" s="170"/>
      <c r="AK373" s="170"/>
      <c r="AL373" s="170"/>
      <c r="AM373" s="170"/>
      <c r="AN373" s="170"/>
      <c r="AO373" s="170"/>
      <c r="AP373" s="170"/>
      <c r="AQ373" s="170"/>
      <c r="AR373" s="170"/>
      <c r="AS373" s="170"/>
      <c r="AT373" s="170"/>
      <c r="AU373" s="170"/>
      <c r="AV373" s="170"/>
      <c r="AW373" s="170"/>
      <c r="AX373" s="170"/>
      <c r="AY373" s="170"/>
    </row>
    <row r="374" spans="1:51" s="171" customFormat="1" ht="15">
      <c r="A374" s="170"/>
      <c r="B374" s="175"/>
      <c r="C374" s="278"/>
      <c r="D374" s="172"/>
      <c r="E374" s="172">
        <v>2</v>
      </c>
      <c r="F374" s="101"/>
      <c r="G374" s="101">
        <v>21.47</v>
      </c>
      <c r="H374" s="101"/>
      <c r="I374" s="176"/>
      <c r="J374" s="164">
        <f>E374*G374</f>
        <v>42.94</v>
      </c>
      <c r="K374" s="223"/>
      <c r="L374" s="170"/>
      <c r="M374" s="170"/>
      <c r="N374" s="170"/>
      <c r="O374" s="170"/>
      <c r="P374" s="170"/>
      <c r="Q374" s="170"/>
      <c r="R374" s="170"/>
      <c r="S374" s="170"/>
      <c r="T374" s="170"/>
      <c r="U374" s="170"/>
      <c r="V374" s="170"/>
      <c r="W374" s="170"/>
      <c r="X374" s="170"/>
      <c r="Y374" s="170"/>
      <c r="Z374" s="170"/>
      <c r="AA374" s="170"/>
      <c r="AB374" s="170"/>
      <c r="AC374" s="170"/>
      <c r="AD374" s="170"/>
      <c r="AE374" s="170"/>
      <c r="AF374" s="170"/>
      <c r="AG374" s="170"/>
      <c r="AH374" s="170"/>
      <c r="AI374" s="170"/>
      <c r="AJ374" s="170"/>
      <c r="AK374" s="170"/>
      <c r="AL374" s="170"/>
      <c r="AM374" s="170"/>
      <c r="AN374" s="170"/>
      <c r="AO374" s="170"/>
      <c r="AP374" s="170"/>
      <c r="AQ374" s="170"/>
      <c r="AR374" s="170"/>
      <c r="AS374" s="170"/>
      <c r="AT374" s="170"/>
      <c r="AU374" s="170"/>
      <c r="AV374" s="170"/>
      <c r="AW374" s="170"/>
      <c r="AX374" s="170"/>
      <c r="AY374" s="170"/>
    </row>
    <row r="375" spans="1:51" s="171" customFormat="1" ht="15">
      <c r="A375" s="170"/>
      <c r="B375" s="175"/>
      <c r="C375" s="278"/>
      <c r="D375" s="172"/>
      <c r="E375" s="172">
        <v>2</v>
      </c>
      <c r="F375" s="101"/>
      <c r="G375" s="101">
        <v>57.6</v>
      </c>
      <c r="H375" s="101"/>
      <c r="I375" s="176"/>
      <c r="J375" s="164">
        <f t="shared" ref="J375:J376" si="33">E375*G375</f>
        <v>115.2</v>
      </c>
      <c r="K375" s="223"/>
      <c r="L375" s="170"/>
      <c r="M375" s="170"/>
      <c r="N375" s="170"/>
      <c r="O375" s="170"/>
      <c r="P375" s="170"/>
      <c r="Q375" s="170"/>
      <c r="R375" s="170"/>
      <c r="S375" s="170"/>
      <c r="T375" s="170"/>
      <c r="U375" s="170"/>
      <c r="V375" s="170"/>
      <c r="W375" s="170"/>
      <c r="X375" s="170"/>
      <c r="Y375" s="170"/>
      <c r="Z375" s="170"/>
      <c r="AA375" s="170"/>
      <c r="AB375" s="170"/>
      <c r="AC375" s="170"/>
      <c r="AD375" s="170"/>
      <c r="AE375" s="170"/>
      <c r="AF375" s="170"/>
      <c r="AG375" s="170"/>
      <c r="AH375" s="170"/>
      <c r="AI375" s="170"/>
      <c r="AJ375" s="170"/>
      <c r="AK375" s="170"/>
      <c r="AL375" s="170"/>
      <c r="AM375" s="170"/>
      <c r="AN375" s="170"/>
      <c r="AO375" s="170"/>
      <c r="AP375" s="170"/>
      <c r="AQ375" s="170"/>
      <c r="AR375" s="170"/>
      <c r="AS375" s="170"/>
      <c r="AT375" s="170"/>
      <c r="AU375" s="170"/>
      <c r="AV375" s="170"/>
      <c r="AW375" s="170"/>
      <c r="AX375" s="170"/>
      <c r="AY375" s="170"/>
    </row>
    <row r="376" spans="1:51" s="171" customFormat="1" ht="15">
      <c r="A376" s="170"/>
      <c r="B376" s="175"/>
      <c r="C376" s="278"/>
      <c r="D376" s="172"/>
      <c r="E376" s="172">
        <v>1</v>
      </c>
      <c r="F376" s="101"/>
      <c r="G376" s="101">
        <v>13.66</v>
      </c>
      <c r="H376" s="101"/>
      <c r="I376" s="176"/>
      <c r="J376" s="164">
        <f t="shared" si="33"/>
        <v>13.66</v>
      </c>
      <c r="K376" s="223"/>
      <c r="L376" s="170"/>
      <c r="M376" s="170"/>
      <c r="N376" s="170"/>
      <c r="O376" s="170"/>
      <c r="P376" s="170"/>
      <c r="Q376" s="170"/>
      <c r="R376" s="170"/>
      <c r="S376" s="170"/>
      <c r="T376" s="170"/>
      <c r="U376" s="170"/>
      <c r="V376" s="170"/>
      <c r="W376" s="170"/>
      <c r="X376" s="170"/>
      <c r="Y376" s="170"/>
      <c r="Z376" s="170"/>
      <c r="AA376" s="170"/>
      <c r="AB376" s="170"/>
      <c r="AC376" s="170"/>
      <c r="AD376" s="170"/>
      <c r="AE376" s="170"/>
      <c r="AF376" s="170"/>
      <c r="AG376" s="170"/>
      <c r="AH376" s="170"/>
      <c r="AI376" s="170"/>
      <c r="AJ376" s="170"/>
      <c r="AK376" s="170"/>
      <c r="AL376" s="170"/>
      <c r="AM376" s="170"/>
      <c r="AN376" s="170"/>
      <c r="AO376" s="170"/>
      <c r="AP376" s="170"/>
      <c r="AQ376" s="170"/>
      <c r="AR376" s="170"/>
      <c r="AS376" s="170"/>
      <c r="AT376" s="170"/>
      <c r="AU376" s="170"/>
      <c r="AV376" s="170"/>
      <c r="AW376" s="170"/>
      <c r="AX376" s="170"/>
      <c r="AY376" s="170"/>
    </row>
    <row r="377" spans="1:51" s="171" customFormat="1" ht="15">
      <c r="A377" s="170"/>
      <c r="B377" s="175"/>
      <c r="C377" s="176"/>
      <c r="D377" s="172"/>
      <c r="E377" s="172"/>
      <c r="F377" s="101"/>
      <c r="G377" s="101"/>
      <c r="H377" s="101"/>
      <c r="I377" s="176"/>
      <c r="J377" s="164"/>
      <c r="K377" s="223"/>
      <c r="L377" s="170"/>
      <c r="M377" s="170"/>
      <c r="N377" s="170"/>
      <c r="O377" s="170"/>
      <c r="P377" s="170"/>
      <c r="Q377" s="170"/>
      <c r="R377" s="170"/>
      <c r="S377" s="170"/>
      <c r="T377" s="170"/>
      <c r="U377" s="170"/>
      <c r="V377" s="170"/>
      <c r="W377" s="170"/>
      <c r="X377" s="170"/>
      <c r="Y377" s="170"/>
      <c r="Z377" s="170"/>
      <c r="AA377" s="170"/>
      <c r="AB377" s="170"/>
      <c r="AC377" s="170"/>
      <c r="AD377" s="170"/>
      <c r="AE377" s="170"/>
      <c r="AF377" s="170"/>
      <c r="AG377" s="170"/>
      <c r="AH377" s="170"/>
      <c r="AI377" s="170"/>
      <c r="AJ377" s="170"/>
      <c r="AK377" s="170"/>
      <c r="AL377" s="170"/>
      <c r="AM377" s="170"/>
      <c r="AN377" s="170"/>
      <c r="AO377" s="170"/>
      <c r="AP377" s="170"/>
      <c r="AQ377" s="170"/>
      <c r="AR377" s="170"/>
      <c r="AS377" s="170"/>
      <c r="AT377" s="170"/>
      <c r="AU377" s="170"/>
      <c r="AV377" s="170"/>
      <c r="AW377" s="170"/>
      <c r="AX377" s="170"/>
      <c r="AY377" s="170"/>
    </row>
    <row r="378" spans="1:51" ht="25.5">
      <c r="A378" s="170"/>
      <c r="B378" s="175" t="s">
        <v>720</v>
      </c>
      <c r="C378" s="278" t="s">
        <v>721</v>
      </c>
      <c r="D378" s="172" t="s">
        <v>543</v>
      </c>
      <c r="E378" s="172"/>
      <c r="F378" s="101"/>
      <c r="G378" s="101"/>
      <c r="H378" s="101"/>
      <c r="I378" s="176" t="s">
        <v>708</v>
      </c>
      <c r="J378" s="164">
        <v>7.6</v>
      </c>
      <c r="K378" s="223"/>
      <c r="L378" s="170"/>
      <c r="M378" s="170"/>
      <c r="N378" s="170"/>
      <c r="O378" s="170"/>
      <c r="P378" s="170"/>
      <c r="Q378" s="170"/>
      <c r="R378" s="170"/>
      <c r="S378" s="170"/>
      <c r="T378" s="170"/>
      <c r="U378" s="170"/>
      <c r="V378" s="170"/>
      <c r="W378" s="170"/>
      <c r="X378" s="170"/>
      <c r="Y378" s="170"/>
      <c r="Z378" s="170"/>
      <c r="AA378" s="170"/>
      <c r="AB378" s="170"/>
      <c r="AC378" s="170"/>
      <c r="AD378" s="170"/>
      <c r="AE378" s="170"/>
      <c r="AF378" s="170"/>
      <c r="AG378" s="170"/>
      <c r="AH378" s="170"/>
      <c r="AI378" s="170"/>
      <c r="AJ378" s="170"/>
      <c r="AK378" s="170"/>
      <c r="AL378" s="170"/>
      <c r="AM378" s="170"/>
      <c r="AN378" s="170"/>
      <c r="AO378" s="170"/>
      <c r="AP378" s="170"/>
      <c r="AQ378" s="170"/>
      <c r="AR378" s="170"/>
      <c r="AS378" s="170"/>
      <c r="AT378" s="170"/>
      <c r="AU378" s="170"/>
      <c r="AV378" s="170"/>
      <c r="AW378" s="170"/>
      <c r="AX378" s="170"/>
      <c r="AY378" s="170"/>
    </row>
    <row r="379" spans="1:51" s="171" customFormat="1" ht="15">
      <c r="A379" s="170"/>
      <c r="B379" s="175"/>
      <c r="C379" s="176"/>
      <c r="D379" s="172"/>
      <c r="E379" s="172"/>
      <c r="F379" s="101"/>
      <c r="G379" s="101"/>
      <c r="H379" s="101"/>
      <c r="I379" s="176"/>
      <c r="J379" s="164"/>
      <c r="K379" s="223"/>
      <c r="L379" s="170"/>
      <c r="M379" s="170"/>
      <c r="N379" s="170"/>
      <c r="O379" s="170"/>
      <c r="P379" s="170"/>
      <c r="Q379" s="170"/>
      <c r="R379" s="170"/>
      <c r="S379" s="170"/>
      <c r="T379" s="170"/>
      <c r="U379" s="170"/>
      <c r="V379" s="170"/>
      <c r="W379" s="170"/>
      <c r="X379" s="170"/>
      <c r="Y379" s="170"/>
      <c r="Z379" s="170"/>
      <c r="AA379" s="170"/>
      <c r="AB379" s="170"/>
      <c r="AC379" s="170"/>
      <c r="AD379" s="170"/>
      <c r="AE379" s="170"/>
      <c r="AF379" s="170"/>
      <c r="AG379" s="170"/>
      <c r="AH379" s="170"/>
      <c r="AI379" s="170"/>
      <c r="AJ379" s="170"/>
      <c r="AK379" s="170"/>
      <c r="AL379" s="170"/>
      <c r="AM379" s="170"/>
      <c r="AN379" s="170"/>
      <c r="AO379" s="170"/>
      <c r="AP379" s="170"/>
      <c r="AQ379" s="170"/>
      <c r="AR379" s="170"/>
      <c r="AS379" s="170"/>
      <c r="AT379" s="170"/>
      <c r="AU379" s="170"/>
      <c r="AV379" s="170"/>
      <c r="AW379" s="170"/>
      <c r="AX379" s="170"/>
      <c r="AY379" s="170"/>
    </row>
    <row r="380" spans="1:51" ht="15">
      <c r="A380" s="170"/>
      <c r="B380" s="175" t="s">
        <v>722</v>
      </c>
      <c r="C380" s="176" t="s">
        <v>723</v>
      </c>
      <c r="D380" s="172" t="s">
        <v>543</v>
      </c>
      <c r="E380" s="169"/>
      <c r="F380" s="101"/>
      <c r="G380" s="101"/>
      <c r="H380" s="101"/>
      <c r="I380" s="176"/>
      <c r="J380" s="164">
        <f>SUM(J381:J387)</f>
        <v>314.39140000000003</v>
      </c>
      <c r="K380" s="223"/>
      <c r="L380" s="170"/>
      <c r="M380" s="170"/>
      <c r="N380" s="170"/>
      <c r="O380" s="170"/>
      <c r="P380" s="170"/>
      <c r="Q380" s="170"/>
      <c r="R380" s="170"/>
      <c r="S380" s="170"/>
      <c r="T380" s="170"/>
      <c r="U380" s="170"/>
      <c r="V380" s="170"/>
      <c r="W380" s="170"/>
      <c r="X380" s="170"/>
      <c r="Y380" s="170"/>
      <c r="Z380" s="170"/>
      <c r="AA380" s="170"/>
      <c r="AB380" s="170"/>
      <c r="AC380" s="170"/>
      <c r="AD380" s="170"/>
      <c r="AE380" s="170"/>
      <c r="AF380" s="170"/>
      <c r="AG380" s="170"/>
      <c r="AH380" s="170"/>
      <c r="AI380" s="170"/>
      <c r="AJ380" s="170"/>
      <c r="AK380" s="170"/>
      <c r="AL380" s="170"/>
      <c r="AM380" s="170"/>
      <c r="AN380" s="170"/>
      <c r="AO380" s="170"/>
      <c r="AP380" s="170"/>
      <c r="AQ380" s="170"/>
      <c r="AR380" s="170"/>
      <c r="AS380" s="170"/>
      <c r="AT380" s="170"/>
      <c r="AU380" s="170"/>
      <c r="AV380" s="170"/>
      <c r="AW380" s="170"/>
      <c r="AX380" s="170"/>
      <c r="AY380" s="170"/>
    </row>
    <row r="381" spans="1:51" s="171" customFormat="1" ht="15">
      <c r="A381" s="170"/>
      <c r="B381" s="175"/>
      <c r="C381" s="180" t="s">
        <v>708</v>
      </c>
      <c r="D381" s="172"/>
      <c r="E381" s="169">
        <v>1</v>
      </c>
      <c r="F381" s="101">
        <v>12.96</v>
      </c>
      <c r="G381" s="101">
        <v>9.2799999999999994</v>
      </c>
      <c r="H381" s="101"/>
      <c r="I381" s="176"/>
      <c r="J381" s="164">
        <f t="shared" ref="J381:J386" si="34">E381*F381*G381</f>
        <v>120.2688</v>
      </c>
      <c r="K381" s="223"/>
      <c r="L381" s="170"/>
      <c r="M381" s="170"/>
      <c r="N381" s="170"/>
      <c r="O381" s="170"/>
      <c r="P381" s="170"/>
      <c r="Q381" s="170"/>
      <c r="R381" s="170"/>
      <c r="S381" s="170"/>
      <c r="T381" s="170"/>
      <c r="U381" s="170"/>
      <c r="V381" s="170"/>
      <c r="W381" s="170"/>
      <c r="X381" s="170"/>
      <c r="Y381" s="170"/>
      <c r="Z381" s="170"/>
      <c r="AA381" s="170"/>
      <c r="AB381" s="170"/>
      <c r="AC381" s="170"/>
      <c r="AD381" s="170"/>
      <c r="AE381" s="170"/>
      <c r="AF381" s="170"/>
      <c r="AG381" s="170"/>
      <c r="AH381" s="170"/>
      <c r="AI381" s="170"/>
      <c r="AJ381" s="170"/>
      <c r="AK381" s="170"/>
      <c r="AL381" s="170"/>
      <c r="AM381" s="170"/>
      <c r="AN381" s="170"/>
      <c r="AO381" s="170"/>
      <c r="AP381" s="170"/>
      <c r="AQ381" s="170"/>
      <c r="AR381" s="170"/>
      <c r="AS381" s="170"/>
      <c r="AT381" s="170"/>
      <c r="AU381" s="170"/>
      <c r="AV381" s="170"/>
      <c r="AW381" s="170"/>
      <c r="AX381" s="170"/>
      <c r="AY381" s="170"/>
    </row>
    <row r="382" spans="1:51" s="171" customFormat="1" ht="15">
      <c r="A382" s="170"/>
      <c r="B382" s="175"/>
      <c r="C382" s="180" t="s">
        <v>708</v>
      </c>
      <c r="D382" s="172"/>
      <c r="E382" s="169">
        <v>1</v>
      </c>
      <c r="F382" s="101">
        <v>7.75</v>
      </c>
      <c r="G382" s="101">
        <v>3.95</v>
      </c>
      <c r="H382" s="101"/>
      <c r="I382" s="176"/>
      <c r="J382" s="164">
        <f t="shared" si="34"/>
        <v>30.612500000000001</v>
      </c>
      <c r="K382" s="223"/>
      <c r="L382" s="170"/>
      <c r="M382" s="170"/>
      <c r="N382" s="170"/>
      <c r="O382" s="170"/>
      <c r="P382" s="170"/>
      <c r="Q382" s="170"/>
      <c r="R382" s="170"/>
      <c r="S382" s="170"/>
      <c r="T382" s="170"/>
      <c r="U382" s="170"/>
      <c r="V382" s="170"/>
      <c r="W382" s="170"/>
      <c r="X382" s="170"/>
      <c r="Y382" s="170"/>
      <c r="Z382" s="170"/>
      <c r="AA382" s="170"/>
      <c r="AB382" s="170"/>
      <c r="AC382" s="170"/>
      <c r="AD382" s="170"/>
      <c r="AE382" s="170"/>
      <c r="AF382" s="170"/>
      <c r="AG382" s="170"/>
      <c r="AH382" s="170"/>
      <c r="AI382" s="170"/>
      <c r="AJ382" s="170"/>
      <c r="AK382" s="170"/>
      <c r="AL382" s="170"/>
      <c r="AM382" s="170"/>
      <c r="AN382" s="170"/>
      <c r="AO382" s="170"/>
      <c r="AP382" s="170"/>
      <c r="AQ382" s="170"/>
      <c r="AR382" s="170"/>
      <c r="AS382" s="170"/>
      <c r="AT382" s="170"/>
      <c r="AU382" s="170"/>
      <c r="AV382" s="170"/>
      <c r="AW382" s="170"/>
      <c r="AX382" s="170"/>
      <c r="AY382" s="170"/>
    </row>
    <row r="383" spans="1:51" s="171" customFormat="1" ht="15">
      <c r="A383" s="170"/>
      <c r="B383" s="175"/>
      <c r="C383" s="180" t="s">
        <v>708</v>
      </c>
      <c r="D383" s="172"/>
      <c r="E383" s="169">
        <v>1</v>
      </c>
      <c r="F383" s="101">
        <v>2.99</v>
      </c>
      <c r="G383" s="101">
        <v>9.48</v>
      </c>
      <c r="H383" s="101"/>
      <c r="I383" s="176"/>
      <c r="J383" s="164">
        <f t="shared" si="34"/>
        <v>28.345200000000002</v>
      </c>
      <c r="K383" s="223"/>
      <c r="L383" s="170"/>
      <c r="M383" s="170"/>
      <c r="N383" s="170"/>
      <c r="O383" s="170"/>
      <c r="P383" s="170"/>
      <c r="Q383" s="170"/>
      <c r="R383" s="170"/>
      <c r="S383" s="170"/>
      <c r="T383" s="170"/>
      <c r="U383" s="170"/>
      <c r="V383" s="170"/>
      <c r="W383" s="170"/>
      <c r="X383" s="170"/>
      <c r="Y383" s="170"/>
      <c r="Z383" s="170"/>
      <c r="AA383" s="170"/>
      <c r="AB383" s="170"/>
      <c r="AC383" s="170"/>
      <c r="AD383" s="170"/>
      <c r="AE383" s="170"/>
      <c r="AF383" s="170"/>
      <c r="AG383" s="170"/>
      <c r="AH383" s="170"/>
      <c r="AI383" s="170"/>
      <c r="AJ383" s="170"/>
      <c r="AK383" s="170"/>
      <c r="AL383" s="170"/>
      <c r="AM383" s="170"/>
      <c r="AN383" s="170"/>
      <c r="AO383" s="170"/>
      <c r="AP383" s="170"/>
      <c r="AQ383" s="170"/>
      <c r="AR383" s="170"/>
      <c r="AS383" s="170"/>
      <c r="AT383" s="170"/>
      <c r="AU383" s="170"/>
      <c r="AV383" s="170"/>
      <c r="AW383" s="170"/>
      <c r="AX383" s="170"/>
      <c r="AY383" s="170"/>
    </row>
    <row r="384" spans="1:51" s="171" customFormat="1" ht="15">
      <c r="A384" s="170"/>
      <c r="B384" s="175"/>
      <c r="C384" s="180" t="s">
        <v>708</v>
      </c>
      <c r="D384" s="172"/>
      <c r="E384" s="169">
        <v>1</v>
      </c>
      <c r="F384" s="101">
        <v>1.55</v>
      </c>
      <c r="G384" s="101">
        <v>12.62</v>
      </c>
      <c r="H384" s="101"/>
      <c r="I384" s="176"/>
      <c r="J384" s="164">
        <f t="shared" si="34"/>
        <v>19.561</v>
      </c>
      <c r="K384" s="223"/>
      <c r="L384" s="170"/>
      <c r="M384" s="170"/>
      <c r="N384" s="170"/>
      <c r="O384" s="170"/>
      <c r="P384" s="170"/>
      <c r="Q384" s="170"/>
      <c r="R384" s="170"/>
      <c r="S384" s="170"/>
      <c r="T384" s="170"/>
      <c r="U384" s="170"/>
      <c r="V384" s="170"/>
      <c r="W384" s="170"/>
      <c r="X384" s="170"/>
      <c r="Y384" s="170"/>
      <c r="Z384" s="170"/>
      <c r="AA384" s="170"/>
      <c r="AB384" s="170"/>
      <c r="AC384" s="170"/>
      <c r="AD384" s="170"/>
      <c r="AE384" s="170"/>
      <c r="AF384" s="170"/>
      <c r="AG384" s="170"/>
      <c r="AH384" s="170"/>
      <c r="AI384" s="170"/>
      <c r="AJ384" s="170"/>
      <c r="AK384" s="170"/>
      <c r="AL384" s="170"/>
      <c r="AM384" s="170"/>
      <c r="AN384" s="170"/>
      <c r="AO384" s="170"/>
      <c r="AP384" s="170"/>
      <c r="AQ384" s="170"/>
      <c r="AR384" s="170"/>
      <c r="AS384" s="170"/>
      <c r="AT384" s="170"/>
      <c r="AU384" s="170"/>
      <c r="AV384" s="170"/>
      <c r="AW384" s="170"/>
      <c r="AX384" s="170"/>
      <c r="AY384" s="170"/>
    </row>
    <row r="385" spans="1:51" s="171" customFormat="1" ht="15">
      <c r="A385" s="170"/>
      <c r="B385" s="175"/>
      <c r="C385" s="180" t="s">
        <v>708</v>
      </c>
      <c r="D385" s="172"/>
      <c r="E385" s="169">
        <v>1</v>
      </c>
      <c r="F385" s="101">
        <v>1.53</v>
      </c>
      <c r="G385" s="101">
        <v>34.57</v>
      </c>
      <c r="H385" s="101"/>
      <c r="I385" s="176"/>
      <c r="J385" s="164">
        <f t="shared" si="34"/>
        <v>52.892099999999999</v>
      </c>
      <c r="K385" s="223"/>
      <c r="L385" s="170"/>
      <c r="M385" s="170"/>
      <c r="N385" s="170"/>
      <c r="O385" s="170"/>
      <c r="P385" s="170"/>
      <c r="Q385" s="170"/>
      <c r="R385" s="170"/>
      <c r="S385" s="170"/>
      <c r="T385" s="170"/>
      <c r="U385" s="170"/>
      <c r="V385" s="170"/>
      <c r="W385" s="170"/>
      <c r="X385" s="170"/>
      <c r="Y385" s="170"/>
      <c r="Z385" s="170"/>
      <c r="AA385" s="170"/>
      <c r="AB385" s="170"/>
      <c r="AC385" s="170"/>
      <c r="AD385" s="170"/>
      <c r="AE385" s="170"/>
      <c r="AF385" s="170"/>
      <c r="AG385" s="170"/>
      <c r="AH385" s="170"/>
      <c r="AI385" s="170"/>
      <c r="AJ385" s="170"/>
      <c r="AK385" s="170"/>
      <c r="AL385" s="170"/>
      <c r="AM385" s="170"/>
      <c r="AN385" s="170"/>
      <c r="AO385" s="170"/>
      <c r="AP385" s="170"/>
      <c r="AQ385" s="170"/>
      <c r="AR385" s="170"/>
      <c r="AS385" s="170"/>
      <c r="AT385" s="170"/>
      <c r="AU385" s="170"/>
      <c r="AV385" s="170"/>
      <c r="AW385" s="170"/>
      <c r="AX385" s="170"/>
      <c r="AY385" s="170"/>
    </row>
    <row r="386" spans="1:51" s="171" customFormat="1" ht="15">
      <c r="A386" s="170"/>
      <c r="B386" s="175"/>
      <c r="C386" s="180" t="s">
        <v>708</v>
      </c>
      <c r="D386" s="172"/>
      <c r="E386" s="169">
        <v>1</v>
      </c>
      <c r="F386" s="101">
        <v>22.16</v>
      </c>
      <c r="G386" s="101">
        <v>1.73</v>
      </c>
      <c r="H386" s="101"/>
      <c r="I386" s="176"/>
      <c r="J386" s="164">
        <f t="shared" si="34"/>
        <v>38.336799999999997</v>
      </c>
      <c r="K386" s="223"/>
      <c r="L386" s="170"/>
      <c r="M386" s="170"/>
      <c r="N386" s="170"/>
      <c r="O386" s="170"/>
      <c r="P386" s="170"/>
      <c r="Q386" s="170"/>
      <c r="R386" s="170"/>
      <c r="S386" s="170"/>
      <c r="T386" s="170"/>
      <c r="U386" s="170"/>
      <c r="V386" s="170"/>
      <c r="W386" s="170"/>
      <c r="X386" s="170"/>
      <c r="Y386" s="170"/>
      <c r="Z386" s="170"/>
      <c r="AA386" s="170"/>
      <c r="AB386" s="170"/>
      <c r="AC386" s="170"/>
      <c r="AD386" s="170"/>
      <c r="AE386" s="170"/>
      <c r="AF386" s="170"/>
      <c r="AG386" s="170"/>
      <c r="AH386" s="170"/>
      <c r="AI386" s="170"/>
      <c r="AJ386" s="170"/>
      <c r="AK386" s="170"/>
      <c r="AL386" s="170"/>
      <c r="AM386" s="170"/>
      <c r="AN386" s="170"/>
      <c r="AO386" s="170"/>
      <c r="AP386" s="170"/>
      <c r="AQ386" s="170"/>
      <c r="AR386" s="170"/>
      <c r="AS386" s="170"/>
      <c r="AT386" s="170"/>
      <c r="AU386" s="170"/>
      <c r="AV386" s="170"/>
      <c r="AW386" s="170"/>
      <c r="AX386" s="170"/>
      <c r="AY386" s="170"/>
    </row>
    <row r="387" spans="1:51" s="171" customFormat="1" ht="15">
      <c r="A387" s="170"/>
      <c r="B387" s="175"/>
      <c r="C387" s="180" t="s">
        <v>708</v>
      </c>
      <c r="D387" s="172"/>
      <c r="E387" s="169">
        <v>1</v>
      </c>
      <c r="F387" s="101">
        <v>0.5</v>
      </c>
      <c r="G387" s="101">
        <v>48.75</v>
      </c>
      <c r="H387" s="101"/>
      <c r="I387" s="176"/>
      <c r="J387" s="164">
        <f>E387*F387*G387</f>
        <v>24.375</v>
      </c>
      <c r="K387" s="223"/>
      <c r="L387" s="170"/>
      <c r="M387" s="170"/>
      <c r="N387" s="170"/>
      <c r="O387" s="170"/>
      <c r="P387" s="170"/>
      <c r="Q387" s="170"/>
      <c r="R387" s="170"/>
      <c r="S387" s="170"/>
      <c r="T387" s="170"/>
      <c r="U387" s="170"/>
      <c r="V387" s="170"/>
      <c r="W387" s="170"/>
      <c r="X387" s="170"/>
      <c r="Y387" s="170"/>
      <c r="Z387" s="170"/>
      <c r="AA387" s="170"/>
      <c r="AB387" s="170"/>
      <c r="AC387" s="170"/>
      <c r="AD387" s="170"/>
      <c r="AE387" s="170"/>
      <c r="AF387" s="170"/>
      <c r="AG387" s="170"/>
      <c r="AH387" s="170"/>
      <c r="AI387" s="170"/>
      <c r="AJ387" s="170"/>
      <c r="AK387" s="170"/>
      <c r="AL387" s="170"/>
      <c r="AM387" s="170"/>
      <c r="AN387" s="170"/>
      <c r="AO387" s="170"/>
      <c r="AP387" s="170"/>
      <c r="AQ387" s="170"/>
      <c r="AR387" s="170"/>
      <c r="AS387" s="170"/>
      <c r="AT387" s="170"/>
      <c r="AU387" s="170"/>
      <c r="AV387" s="170"/>
      <c r="AW387" s="170"/>
      <c r="AX387" s="170"/>
      <c r="AY387" s="170"/>
    </row>
    <row r="388" spans="1:51" ht="15">
      <c r="A388" s="170"/>
      <c r="B388" s="122"/>
      <c r="C388" s="177"/>
      <c r="D388" s="135"/>
      <c r="E388" s="135"/>
      <c r="F388" s="101"/>
      <c r="G388" s="101"/>
      <c r="H388" s="101"/>
      <c r="I388" s="177"/>
      <c r="J388" s="166"/>
      <c r="K388" s="223"/>
      <c r="L388" s="170"/>
      <c r="M388" s="170"/>
      <c r="N388" s="170"/>
      <c r="O388" s="170"/>
      <c r="P388" s="170"/>
      <c r="Q388" s="170"/>
      <c r="R388" s="170"/>
      <c r="S388" s="170"/>
      <c r="T388" s="170"/>
      <c r="U388" s="170"/>
      <c r="V388" s="170"/>
      <c r="W388" s="170"/>
      <c r="X388" s="170"/>
      <c r="Y388" s="170"/>
      <c r="Z388" s="170"/>
      <c r="AA388" s="170"/>
      <c r="AB388" s="170"/>
      <c r="AC388" s="170"/>
      <c r="AD388" s="170"/>
      <c r="AE388" s="170"/>
      <c r="AF388" s="170"/>
      <c r="AG388" s="170"/>
      <c r="AH388" s="170"/>
      <c r="AI388" s="170"/>
      <c r="AJ388" s="170"/>
      <c r="AK388" s="170"/>
      <c r="AL388" s="170"/>
      <c r="AM388" s="170"/>
      <c r="AN388" s="170"/>
      <c r="AO388" s="170"/>
      <c r="AP388" s="170"/>
      <c r="AQ388" s="170"/>
      <c r="AR388" s="170"/>
      <c r="AS388" s="170"/>
      <c r="AT388" s="170"/>
      <c r="AU388" s="170"/>
      <c r="AV388" s="170"/>
      <c r="AW388" s="170"/>
      <c r="AX388" s="170"/>
      <c r="AY388" s="170"/>
    </row>
    <row r="389" spans="1:51" ht="15">
      <c r="A389" s="170"/>
      <c r="B389" s="118">
        <v>12</v>
      </c>
      <c r="C389" s="71" t="s">
        <v>724</v>
      </c>
      <c r="D389" s="71"/>
      <c r="E389" s="71"/>
      <c r="F389" s="107"/>
      <c r="G389" s="107"/>
      <c r="H389" s="107"/>
      <c r="I389" s="136" t="s">
        <v>725</v>
      </c>
      <c r="J389" s="130"/>
      <c r="K389" s="223"/>
      <c r="L389" s="170"/>
      <c r="M389" s="170"/>
      <c r="N389" s="170"/>
      <c r="O389" s="170"/>
      <c r="P389" s="170"/>
      <c r="Q389" s="170"/>
      <c r="R389" s="170"/>
      <c r="S389" s="170"/>
      <c r="T389" s="170"/>
      <c r="U389" s="170"/>
      <c r="V389" s="170"/>
      <c r="W389" s="170"/>
      <c r="X389" s="170"/>
      <c r="Y389" s="170"/>
      <c r="Z389" s="170"/>
      <c r="AA389" s="170"/>
      <c r="AB389" s="170"/>
      <c r="AC389" s="170"/>
      <c r="AD389" s="170"/>
      <c r="AE389" s="170"/>
      <c r="AF389" s="170"/>
      <c r="AG389" s="170"/>
      <c r="AH389" s="170"/>
      <c r="AI389" s="170"/>
      <c r="AJ389" s="170"/>
      <c r="AK389" s="170"/>
      <c r="AL389" s="170"/>
      <c r="AM389" s="170"/>
      <c r="AN389" s="170"/>
      <c r="AO389" s="170"/>
      <c r="AP389" s="170"/>
      <c r="AQ389" s="170"/>
      <c r="AR389" s="170"/>
      <c r="AS389" s="170"/>
      <c r="AT389" s="170"/>
      <c r="AU389" s="170"/>
      <c r="AV389" s="170"/>
      <c r="AW389" s="170"/>
      <c r="AX389" s="170"/>
      <c r="AY389" s="170"/>
    </row>
    <row r="390" spans="1:51" ht="15">
      <c r="A390" s="170"/>
      <c r="B390" s="122"/>
      <c r="C390" s="177"/>
      <c r="D390" s="177"/>
      <c r="E390" s="177"/>
      <c r="F390" s="127"/>
      <c r="G390" s="127"/>
      <c r="H390" s="127"/>
      <c r="I390" s="177"/>
      <c r="J390" s="131"/>
      <c r="K390" s="223"/>
      <c r="L390" s="170"/>
      <c r="M390" s="170"/>
      <c r="N390" s="170"/>
      <c r="O390" s="170"/>
      <c r="P390" s="170"/>
      <c r="Q390" s="170"/>
      <c r="R390" s="170"/>
      <c r="S390" s="170"/>
      <c r="T390" s="170"/>
      <c r="U390" s="170"/>
      <c r="V390" s="170"/>
      <c r="W390" s="170"/>
      <c r="X390" s="170"/>
      <c r="Y390" s="170"/>
      <c r="Z390" s="170"/>
      <c r="AA390" s="170"/>
      <c r="AB390" s="170"/>
      <c r="AC390" s="170"/>
      <c r="AD390" s="170"/>
      <c r="AE390" s="170"/>
      <c r="AF390" s="170"/>
      <c r="AG390" s="170"/>
      <c r="AH390" s="170"/>
      <c r="AI390" s="170"/>
      <c r="AJ390" s="170"/>
      <c r="AK390" s="170"/>
      <c r="AL390" s="170"/>
      <c r="AM390" s="170"/>
      <c r="AN390" s="170"/>
      <c r="AO390" s="170"/>
      <c r="AP390" s="170"/>
      <c r="AQ390" s="170"/>
      <c r="AR390" s="170"/>
      <c r="AS390" s="170"/>
      <c r="AT390" s="170"/>
      <c r="AU390" s="170"/>
      <c r="AV390" s="170"/>
      <c r="AW390" s="170"/>
      <c r="AX390" s="170"/>
      <c r="AY390" s="170"/>
    </row>
    <row r="391" spans="1:51" ht="15">
      <c r="A391" s="170"/>
      <c r="B391" s="118">
        <v>13</v>
      </c>
      <c r="C391" s="71" t="s">
        <v>726</v>
      </c>
      <c r="D391" s="71"/>
      <c r="E391" s="71"/>
      <c r="F391" s="107"/>
      <c r="G391" s="107"/>
      <c r="H391" s="107"/>
      <c r="I391" s="136" t="s">
        <v>727</v>
      </c>
      <c r="J391" s="130"/>
      <c r="K391" s="223"/>
      <c r="L391" s="170"/>
      <c r="M391" s="170"/>
      <c r="N391" s="170"/>
      <c r="O391" s="170"/>
      <c r="P391" s="170"/>
      <c r="Q391" s="170"/>
      <c r="R391" s="170"/>
      <c r="S391" s="170"/>
      <c r="T391" s="170"/>
      <c r="U391" s="170"/>
      <c r="V391" s="170"/>
      <c r="W391" s="170"/>
      <c r="X391" s="170"/>
      <c r="Y391" s="170"/>
      <c r="Z391" s="170"/>
      <c r="AA391" s="170"/>
      <c r="AB391" s="170"/>
      <c r="AC391" s="170"/>
      <c r="AD391" s="170"/>
      <c r="AE391" s="170"/>
      <c r="AF391" s="170"/>
      <c r="AG391" s="170"/>
      <c r="AH391" s="170"/>
      <c r="AI391" s="170"/>
      <c r="AJ391" s="170"/>
      <c r="AK391" s="170"/>
      <c r="AL391" s="170"/>
      <c r="AM391" s="170"/>
      <c r="AN391" s="170"/>
      <c r="AO391" s="170"/>
      <c r="AP391" s="170"/>
      <c r="AQ391" s="170"/>
      <c r="AR391" s="170"/>
      <c r="AS391" s="170"/>
      <c r="AT391" s="170"/>
      <c r="AU391" s="170"/>
      <c r="AV391" s="170"/>
      <c r="AW391" s="170"/>
      <c r="AX391" s="170"/>
      <c r="AY391" s="170"/>
    </row>
    <row r="392" spans="1:51" ht="15">
      <c r="A392" s="170"/>
      <c r="B392" s="122"/>
      <c r="C392" s="177"/>
      <c r="D392" s="177"/>
      <c r="E392" s="177"/>
      <c r="F392" s="127"/>
      <c r="G392" s="127"/>
      <c r="H392" s="127"/>
      <c r="I392" s="177"/>
      <c r="J392" s="131"/>
      <c r="K392" s="223"/>
      <c r="L392" s="170"/>
      <c r="M392" s="170"/>
      <c r="N392" s="170"/>
      <c r="O392" s="170"/>
      <c r="P392" s="170"/>
      <c r="Q392" s="170"/>
      <c r="R392" s="170"/>
      <c r="S392" s="170"/>
      <c r="T392" s="170"/>
      <c r="U392" s="170"/>
      <c r="V392" s="170"/>
      <c r="W392" s="170"/>
      <c r="X392" s="170"/>
      <c r="Y392" s="170"/>
      <c r="Z392" s="170"/>
      <c r="AA392" s="170"/>
      <c r="AB392" s="170"/>
      <c r="AC392" s="170"/>
      <c r="AD392" s="170"/>
      <c r="AE392" s="170"/>
      <c r="AF392" s="170"/>
      <c r="AG392" s="170"/>
      <c r="AH392" s="170"/>
      <c r="AI392" s="170"/>
      <c r="AJ392" s="170"/>
      <c r="AK392" s="170"/>
      <c r="AL392" s="170"/>
      <c r="AM392" s="170"/>
      <c r="AN392" s="170"/>
      <c r="AO392" s="170"/>
      <c r="AP392" s="170"/>
      <c r="AQ392" s="170"/>
      <c r="AR392" s="170"/>
      <c r="AS392" s="170"/>
      <c r="AT392" s="170"/>
      <c r="AU392" s="170"/>
      <c r="AV392" s="170"/>
      <c r="AW392" s="170"/>
      <c r="AX392" s="170"/>
      <c r="AY392" s="170"/>
    </row>
    <row r="393" spans="1:51" ht="15">
      <c r="A393" s="170"/>
      <c r="B393" s="118">
        <v>14</v>
      </c>
      <c r="C393" s="71" t="s">
        <v>728</v>
      </c>
      <c r="D393" s="71"/>
      <c r="E393" s="71"/>
      <c r="F393" s="107"/>
      <c r="G393" s="107"/>
      <c r="H393" s="107"/>
      <c r="I393" s="136" t="s">
        <v>727</v>
      </c>
      <c r="J393" s="130"/>
      <c r="K393" s="223"/>
      <c r="L393" s="170"/>
      <c r="M393" s="170"/>
      <c r="N393" s="170"/>
      <c r="O393" s="170"/>
      <c r="P393" s="170"/>
      <c r="Q393" s="170"/>
      <c r="R393" s="170"/>
      <c r="S393" s="170"/>
      <c r="T393" s="170"/>
      <c r="U393" s="170"/>
      <c r="V393" s="170"/>
      <c r="W393" s="170"/>
      <c r="X393" s="170"/>
      <c r="Y393" s="170"/>
      <c r="Z393" s="170"/>
      <c r="AA393" s="170"/>
      <c r="AB393" s="170"/>
      <c r="AC393" s="170"/>
      <c r="AD393" s="170"/>
      <c r="AE393" s="170"/>
      <c r="AF393" s="170"/>
      <c r="AG393" s="170"/>
      <c r="AH393" s="170"/>
      <c r="AI393" s="170"/>
      <c r="AJ393" s="170"/>
      <c r="AK393" s="170"/>
      <c r="AL393" s="170"/>
      <c r="AM393" s="170"/>
      <c r="AN393" s="170"/>
      <c r="AO393" s="170"/>
      <c r="AP393" s="170"/>
      <c r="AQ393" s="170"/>
      <c r="AR393" s="170"/>
      <c r="AS393" s="170"/>
      <c r="AT393" s="170"/>
      <c r="AU393" s="170"/>
      <c r="AV393" s="170"/>
      <c r="AW393" s="170"/>
      <c r="AX393" s="170"/>
      <c r="AY393" s="170"/>
    </row>
    <row r="394" spans="1:51" ht="15">
      <c r="A394" s="170"/>
      <c r="B394" s="122"/>
      <c r="C394" s="177"/>
      <c r="D394" s="177"/>
      <c r="E394" s="177"/>
      <c r="F394" s="127"/>
      <c r="G394" s="127"/>
      <c r="H394" s="127"/>
      <c r="I394" s="177"/>
      <c r="J394" s="131"/>
      <c r="K394" s="223"/>
      <c r="L394" s="170"/>
      <c r="M394" s="170"/>
      <c r="N394" s="170"/>
      <c r="O394" s="170"/>
      <c r="P394" s="170"/>
      <c r="Q394" s="170"/>
      <c r="R394" s="170"/>
      <c r="S394" s="170"/>
      <c r="T394" s="170"/>
      <c r="U394" s="170"/>
      <c r="V394" s="170"/>
      <c r="W394" s="170"/>
      <c r="X394" s="170"/>
      <c r="Y394" s="170"/>
      <c r="Z394" s="170"/>
      <c r="AA394" s="170"/>
      <c r="AB394" s="170"/>
      <c r="AC394" s="170"/>
      <c r="AD394" s="170"/>
      <c r="AE394" s="170"/>
      <c r="AF394" s="170"/>
      <c r="AG394" s="170"/>
      <c r="AH394" s="170"/>
      <c r="AI394" s="170"/>
      <c r="AJ394" s="170"/>
      <c r="AK394" s="170"/>
      <c r="AL394" s="170"/>
      <c r="AM394" s="170"/>
      <c r="AN394" s="170"/>
      <c r="AO394" s="170"/>
      <c r="AP394" s="170"/>
      <c r="AQ394" s="170"/>
      <c r="AR394" s="170"/>
      <c r="AS394" s="170"/>
      <c r="AT394" s="170"/>
      <c r="AU394" s="170"/>
      <c r="AV394" s="170"/>
      <c r="AW394" s="170"/>
      <c r="AX394" s="170"/>
      <c r="AY394" s="170"/>
    </row>
    <row r="395" spans="1:51" ht="15">
      <c r="A395" s="170"/>
      <c r="B395" s="118">
        <v>15</v>
      </c>
      <c r="C395" s="71" t="s">
        <v>729</v>
      </c>
      <c r="D395" s="137"/>
      <c r="E395" s="137"/>
      <c r="F395" s="138"/>
      <c r="G395" s="138"/>
      <c r="H395" s="138"/>
      <c r="I395" s="71"/>
      <c r="J395" s="130"/>
      <c r="K395" s="223"/>
      <c r="L395" s="170"/>
      <c r="M395" s="170"/>
      <c r="N395" s="170"/>
      <c r="O395" s="170"/>
      <c r="P395" s="170"/>
      <c r="Q395" s="170"/>
      <c r="R395" s="170"/>
      <c r="S395" s="170"/>
      <c r="T395" s="170"/>
      <c r="U395" s="170"/>
      <c r="V395" s="170"/>
      <c r="W395" s="170"/>
      <c r="X395" s="170"/>
      <c r="Y395" s="170"/>
      <c r="Z395" s="170"/>
      <c r="AA395" s="170"/>
      <c r="AB395" s="170"/>
      <c r="AC395" s="170"/>
      <c r="AD395" s="170"/>
      <c r="AE395" s="170"/>
      <c r="AF395" s="170"/>
      <c r="AG395" s="170"/>
      <c r="AH395" s="170"/>
      <c r="AI395" s="170"/>
      <c r="AJ395" s="170"/>
      <c r="AK395" s="170"/>
      <c r="AL395" s="170"/>
      <c r="AM395" s="170"/>
      <c r="AN395" s="170"/>
      <c r="AO395" s="170"/>
      <c r="AP395" s="170"/>
      <c r="AQ395" s="170"/>
      <c r="AR395" s="170"/>
      <c r="AS395" s="170"/>
      <c r="AT395" s="170"/>
      <c r="AU395" s="170"/>
      <c r="AV395" s="170"/>
      <c r="AW395" s="170"/>
      <c r="AX395" s="170"/>
      <c r="AY395" s="170"/>
    </row>
    <row r="396" spans="1:51" ht="15">
      <c r="A396" s="170"/>
      <c r="B396" s="125" t="s">
        <v>730</v>
      </c>
      <c r="C396" s="72" t="s">
        <v>731</v>
      </c>
      <c r="D396" s="73"/>
      <c r="E396" s="73"/>
      <c r="F396" s="109"/>
      <c r="G396" s="109"/>
      <c r="H396" s="109"/>
      <c r="I396" s="173"/>
      <c r="J396" s="128"/>
      <c r="K396" s="223"/>
      <c r="L396" s="170"/>
      <c r="M396" s="170"/>
      <c r="N396" s="170"/>
      <c r="O396" s="170"/>
      <c r="P396" s="170"/>
      <c r="Q396" s="170"/>
      <c r="R396" s="170"/>
      <c r="S396" s="170"/>
      <c r="T396" s="170"/>
      <c r="U396" s="170"/>
      <c r="V396" s="170"/>
      <c r="W396" s="170"/>
      <c r="X396" s="170"/>
      <c r="Y396" s="170"/>
      <c r="Z396" s="170"/>
      <c r="AA396" s="170"/>
      <c r="AB396" s="170"/>
      <c r="AC396" s="170"/>
      <c r="AD396" s="170"/>
      <c r="AE396" s="170"/>
      <c r="AF396" s="170"/>
      <c r="AG396" s="170"/>
      <c r="AH396" s="170"/>
      <c r="AI396" s="170"/>
      <c r="AJ396" s="170"/>
      <c r="AK396" s="170"/>
      <c r="AL396" s="170"/>
      <c r="AM396" s="170"/>
      <c r="AN396" s="170"/>
      <c r="AO396" s="170"/>
      <c r="AP396" s="170"/>
      <c r="AQ396" s="170"/>
      <c r="AR396" s="170"/>
      <c r="AS396" s="170"/>
      <c r="AT396" s="170"/>
      <c r="AU396" s="170"/>
      <c r="AV396" s="170"/>
      <c r="AW396" s="170"/>
      <c r="AX396" s="170"/>
      <c r="AY396" s="170"/>
    </row>
    <row r="397" spans="1:51" ht="15">
      <c r="A397" s="170"/>
      <c r="B397" s="175" t="s">
        <v>732</v>
      </c>
      <c r="C397" s="176" t="s">
        <v>922</v>
      </c>
      <c r="D397" s="172" t="s">
        <v>543</v>
      </c>
      <c r="E397" s="172"/>
      <c r="F397" s="101">
        <v>0.6</v>
      </c>
      <c r="G397" s="101">
        <v>3</v>
      </c>
      <c r="H397" s="101"/>
      <c r="I397" s="176" t="s">
        <v>733</v>
      </c>
      <c r="J397" s="131">
        <f>F397*G397</f>
        <v>1.7999999999999998</v>
      </c>
      <c r="K397" s="223"/>
      <c r="L397" s="170"/>
      <c r="M397" s="170"/>
      <c r="N397" s="170"/>
      <c r="O397" s="170"/>
      <c r="P397" s="170"/>
      <c r="Q397" s="170"/>
      <c r="R397" s="170"/>
      <c r="S397" s="170"/>
      <c r="T397" s="170"/>
      <c r="U397" s="170"/>
      <c r="V397" s="170"/>
      <c r="W397" s="170"/>
      <c r="X397" s="170"/>
      <c r="Y397" s="170"/>
      <c r="Z397" s="170"/>
      <c r="AA397" s="170"/>
      <c r="AB397" s="170"/>
      <c r="AC397" s="170"/>
      <c r="AD397" s="170"/>
      <c r="AE397" s="170"/>
      <c r="AF397" s="170"/>
      <c r="AG397" s="170"/>
      <c r="AH397" s="170"/>
      <c r="AI397" s="170"/>
      <c r="AJ397" s="170"/>
      <c r="AK397" s="170"/>
      <c r="AL397" s="170"/>
      <c r="AM397" s="170"/>
      <c r="AN397" s="170"/>
      <c r="AO397" s="170"/>
      <c r="AP397" s="170"/>
      <c r="AQ397" s="170"/>
      <c r="AR397" s="170"/>
      <c r="AS397" s="170"/>
      <c r="AT397" s="170"/>
      <c r="AU397" s="170"/>
      <c r="AV397" s="170"/>
      <c r="AW397" s="170"/>
      <c r="AX397" s="170"/>
      <c r="AY397" s="170"/>
    </row>
    <row r="398" spans="1:51" ht="15">
      <c r="B398" s="125" t="s">
        <v>734</v>
      </c>
      <c r="C398" s="72" t="s">
        <v>735</v>
      </c>
      <c r="D398" s="73"/>
      <c r="E398" s="73"/>
      <c r="F398" s="109"/>
      <c r="G398" s="109"/>
      <c r="H398" s="109"/>
      <c r="I398" s="173"/>
      <c r="J398" s="128"/>
    </row>
    <row r="399" spans="1:51" ht="15">
      <c r="B399" s="175" t="s">
        <v>736</v>
      </c>
      <c r="C399" s="176" t="s">
        <v>737</v>
      </c>
      <c r="D399" s="172" t="s">
        <v>23</v>
      </c>
      <c r="E399" s="172">
        <v>2</v>
      </c>
      <c r="F399" s="101"/>
      <c r="G399" s="101"/>
      <c r="H399" s="101"/>
      <c r="I399" s="176" t="s">
        <v>738</v>
      </c>
      <c r="J399" s="131">
        <f>E399</f>
        <v>2</v>
      </c>
    </row>
    <row r="400" spans="1:51" ht="15">
      <c r="B400" s="175" t="s">
        <v>739</v>
      </c>
      <c r="C400" s="176" t="s">
        <v>740</v>
      </c>
      <c r="D400" s="172" t="s">
        <v>23</v>
      </c>
      <c r="E400" s="172">
        <v>4</v>
      </c>
      <c r="F400" s="101"/>
      <c r="G400" s="101"/>
      <c r="H400" s="101"/>
      <c r="I400" s="176" t="s">
        <v>741</v>
      </c>
      <c r="J400" s="131">
        <f t="shared" ref="J400:J404" si="35">E400</f>
        <v>4</v>
      </c>
    </row>
    <row r="401" spans="1:51" ht="15">
      <c r="B401" s="175" t="s">
        <v>742</v>
      </c>
      <c r="C401" s="176" t="s">
        <v>743</v>
      </c>
      <c r="D401" s="172" t="s">
        <v>23</v>
      </c>
      <c r="E401" s="172">
        <v>6</v>
      </c>
      <c r="F401" s="101"/>
      <c r="G401" s="101"/>
      <c r="H401" s="101"/>
      <c r="I401" s="176"/>
      <c r="J401" s="131">
        <f t="shared" si="35"/>
        <v>6</v>
      </c>
    </row>
    <row r="402" spans="1:51" ht="15">
      <c r="B402" s="175" t="s">
        <v>744</v>
      </c>
      <c r="C402" s="176" t="s">
        <v>745</v>
      </c>
      <c r="D402" s="172" t="s">
        <v>23</v>
      </c>
      <c r="E402" s="172">
        <v>1</v>
      </c>
      <c r="F402" s="101"/>
      <c r="G402" s="101"/>
      <c r="H402" s="101"/>
      <c r="I402" s="176" t="s">
        <v>733</v>
      </c>
      <c r="J402" s="131">
        <f t="shared" si="35"/>
        <v>1</v>
      </c>
    </row>
    <row r="403" spans="1:51" ht="15">
      <c r="B403" s="175" t="s">
        <v>746</v>
      </c>
      <c r="C403" s="176" t="s">
        <v>747</v>
      </c>
      <c r="D403" s="172" t="s">
        <v>23</v>
      </c>
      <c r="E403" s="172">
        <v>10</v>
      </c>
      <c r="F403" s="101"/>
      <c r="G403" s="101"/>
      <c r="H403" s="101"/>
      <c r="I403" s="176" t="s">
        <v>748</v>
      </c>
      <c r="J403" s="131">
        <f t="shared" si="35"/>
        <v>10</v>
      </c>
    </row>
    <row r="404" spans="1:51" ht="15">
      <c r="B404" s="175" t="s">
        <v>749</v>
      </c>
      <c r="C404" s="176" t="s">
        <v>750</v>
      </c>
      <c r="D404" s="172" t="s">
        <v>23</v>
      </c>
      <c r="E404" s="172">
        <v>2</v>
      </c>
      <c r="F404" s="101"/>
      <c r="G404" s="101"/>
      <c r="H404" s="101"/>
      <c r="I404" s="176" t="s">
        <v>738</v>
      </c>
      <c r="J404" s="131">
        <f t="shared" si="35"/>
        <v>2</v>
      </c>
    </row>
    <row r="405" spans="1:51" ht="15">
      <c r="B405" s="125" t="s">
        <v>751</v>
      </c>
      <c r="C405" s="72" t="s">
        <v>752</v>
      </c>
      <c r="D405" s="73"/>
      <c r="E405" s="73"/>
      <c r="F405" s="109"/>
      <c r="G405" s="109"/>
      <c r="H405" s="109"/>
      <c r="I405" s="173"/>
      <c r="J405" s="128"/>
    </row>
    <row r="406" spans="1:51" ht="15">
      <c r="B406" s="175" t="s">
        <v>753</v>
      </c>
      <c r="C406" s="176" t="s">
        <v>754</v>
      </c>
      <c r="D406" s="172" t="s">
        <v>23</v>
      </c>
      <c r="E406" s="172">
        <v>2</v>
      </c>
      <c r="F406" s="101"/>
      <c r="G406" s="101"/>
      <c r="H406" s="101"/>
      <c r="I406" s="176" t="s">
        <v>755</v>
      </c>
      <c r="J406" s="139">
        <f>E406</f>
        <v>2</v>
      </c>
    </row>
    <row r="407" spans="1:51" ht="15">
      <c r="B407" s="175" t="s">
        <v>756</v>
      </c>
      <c r="C407" s="176" t="s">
        <v>757</v>
      </c>
      <c r="D407" s="172" t="s">
        <v>23</v>
      </c>
      <c r="E407" s="172">
        <v>2</v>
      </c>
      <c r="F407" s="101"/>
      <c r="G407" s="101"/>
      <c r="H407" s="101"/>
      <c r="I407" s="176" t="s">
        <v>673</v>
      </c>
      <c r="J407" s="139">
        <f t="shared" ref="J407:J415" si="36">E407</f>
        <v>2</v>
      </c>
    </row>
    <row r="408" spans="1:51" ht="15">
      <c r="B408" s="175" t="s">
        <v>758</v>
      </c>
      <c r="C408" s="176" t="s">
        <v>759</v>
      </c>
      <c r="D408" s="172" t="s">
        <v>23</v>
      </c>
      <c r="E408" s="172">
        <v>2</v>
      </c>
      <c r="F408" s="101"/>
      <c r="G408" s="101"/>
      <c r="H408" s="101"/>
      <c r="I408" s="176" t="s">
        <v>673</v>
      </c>
      <c r="J408" s="139">
        <f t="shared" si="36"/>
        <v>2</v>
      </c>
    </row>
    <row r="409" spans="1:51" s="171" customFormat="1" ht="15">
      <c r="A409" s="170"/>
      <c r="B409" s="175" t="s">
        <v>758</v>
      </c>
      <c r="C409" s="176" t="s">
        <v>1114</v>
      </c>
      <c r="D409" s="172" t="s">
        <v>23</v>
      </c>
      <c r="E409" s="172">
        <v>24</v>
      </c>
      <c r="F409" s="101"/>
      <c r="G409" s="101"/>
      <c r="H409" s="101"/>
      <c r="I409" s="176" t="s">
        <v>673</v>
      </c>
      <c r="J409" s="139">
        <f t="shared" ref="J409" si="37">E409</f>
        <v>24</v>
      </c>
      <c r="K409" s="168"/>
      <c r="L409" s="170"/>
      <c r="M409" s="170"/>
      <c r="N409" s="170"/>
      <c r="O409" s="170"/>
      <c r="P409" s="170"/>
      <c r="Q409" s="170"/>
      <c r="R409" s="170"/>
      <c r="S409" s="170"/>
      <c r="T409" s="170"/>
      <c r="U409" s="170"/>
      <c r="V409" s="170"/>
      <c r="W409" s="170"/>
      <c r="X409" s="170"/>
      <c r="Y409" s="170"/>
      <c r="Z409" s="170"/>
      <c r="AA409" s="170"/>
      <c r="AB409" s="170"/>
      <c r="AC409" s="170"/>
      <c r="AD409" s="170"/>
      <c r="AE409" s="170"/>
      <c r="AF409" s="170"/>
      <c r="AG409" s="170"/>
      <c r="AH409" s="170"/>
      <c r="AI409" s="170"/>
      <c r="AJ409" s="170"/>
      <c r="AK409" s="170"/>
      <c r="AL409" s="170"/>
      <c r="AM409" s="170"/>
      <c r="AN409" s="170"/>
      <c r="AO409" s="170"/>
      <c r="AP409" s="170"/>
      <c r="AQ409" s="170"/>
      <c r="AR409" s="170"/>
      <c r="AS409" s="170"/>
      <c r="AT409" s="170"/>
      <c r="AU409" s="170"/>
      <c r="AV409" s="170"/>
      <c r="AW409" s="170"/>
      <c r="AX409" s="170"/>
      <c r="AY409" s="170"/>
    </row>
    <row r="410" spans="1:51" ht="15">
      <c r="B410" s="175" t="s">
        <v>760</v>
      </c>
      <c r="C410" s="176" t="s">
        <v>761</v>
      </c>
      <c r="D410" s="172" t="s">
        <v>23</v>
      </c>
      <c r="E410" s="172">
        <v>1</v>
      </c>
      <c r="F410" s="101"/>
      <c r="G410" s="101"/>
      <c r="H410" s="101"/>
      <c r="I410" s="176" t="s">
        <v>733</v>
      </c>
      <c r="J410" s="139">
        <f t="shared" si="36"/>
        <v>1</v>
      </c>
    </row>
    <row r="411" spans="1:51" ht="15">
      <c r="B411" s="175" t="s">
        <v>762</v>
      </c>
      <c r="C411" s="176" t="s">
        <v>763</v>
      </c>
      <c r="D411" s="172" t="s">
        <v>23</v>
      </c>
      <c r="E411" s="172">
        <v>11</v>
      </c>
      <c r="F411" s="101"/>
      <c r="G411" s="101"/>
      <c r="H411" s="101"/>
      <c r="I411" s="176" t="s">
        <v>764</v>
      </c>
      <c r="J411" s="139">
        <f t="shared" si="36"/>
        <v>11</v>
      </c>
    </row>
    <row r="412" spans="1:51" ht="15">
      <c r="B412" s="125" t="s">
        <v>765</v>
      </c>
      <c r="C412" s="72" t="s">
        <v>766</v>
      </c>
      <c r="D412" s="73"/>
      <c r="E412" s="73"/>
      <c r="F412" s="109"/>
      <c r="G412" s="109"/>
      <c r="H412" s="109"/>
      <c r="I412" s="173"/>
      <c r="J412" s="128"/>
    </row>
    <row r="413" spans="1:51" ht="15">
      <c r="B413" s="175" t="s">
        <v>767</v>
      </c>
      <c r="C413" s="176" t="s">
        <v>768</v>
      </c>
      <c r="D413" s="172" t="s">
        <v>23</v>
      </c>
      <c r="E413" s="172">
        <v>6</v>
      </c>
      <c r="F413" s="101"/>
      <c r="G413" s="101"/>
      <c r="H413" s="101"/>
      <c r="I413" s="176" t="s">
        <v>769</v>
      </c>
      <c r="J413" s="139">
        <f t="shared" si="36"/>
        <v>6</v>
      </c>
    </row>
    <row r="414" spans="1:51" ht="15">
      <c r="B414" s="175" t="s">
        <v>770</v>
      </c>
      <c r="C414" s="176" t="s">
        <v>771</v>
      </c>
      <c r="D414" s="172" t="s">
        <v>23</v>
      </c>
      <c r="E414" s="172">
        <v>12</v>
      </c>
      <c r="F414" s="101"/>
      <c r="G414" s="101"/>
      <c r="H414" s="101"/>
      <c r="I414" s="176" t="s">
        <v>772</v>
      </c>
      <c r="J414" s="139">
        <f t="shared" si="36"/>
        <v>12</v>
      </c>
    </row>
    <row r="415" spans="1:51" ht="15">
      <c r="A415" s="170"/>
      <c r="B415" s="175" t="s">
        <v>773</v>
      </c>
      <c r="C415" s="176" t="s">
        <v>774</v>
      </c>
      <c r="D415" s="172" t="s">
        <v>23</v>
      </c>
      <c r="E415" s="172">
        <v>10</v>
      </c>
      <c r="F415" s="101"/>
      <c r="G415" s="101"/>
      <c r="H415" s="101"/>
      <c r="I415" s="176" t="s">
        <v>775</v>
      </c>
      <c r="J415" s="139">
        <f t="shared" si="36"/>
        <v>10</v>
      </c>
      <c r="K415" s="223"/>
      <c r="L415" s="170"/>
      <c r="M415" s="170"/>
      <c r="N415" s="170"/>
      <c r="O415" s="170"/>
      <c r="P415" s="170"/>
      <c r="Q415" s="170"/>
      <c r="R415" s="170"/>
      <c r="S415" s="170"/>
      <c r="T415" s="170"/>
      <c r="U415" s="170"/>
      <c r="V415" s="170"/>
      <c r="W415" s="170"/>
      <c r="X415" s="170"/>
      <c r="Y415" s="170"/>
      <c r="Z415" s="170"/>
      <c r="AA415" s="170"/>
      <c r="AB415" s="170"/>
      <c r="AC415" s="170"/>
      <c r="AD415" s="170"/>
      <c r="AE415" s="170"/>
      <c r="AF415" s="170"/>
      <c r="AG415" s="170"/>
      <c r="AH415" s="170"/>
      <c r="AI415" s="170"/>
      <c r="AJ415" s="170"/>
      <c r="AK415" s="170"/>
      <c r="AL415" s="170"/>
      <c r="AM415" s="170"/>
      <c r="AN415" s="170"/>
      <c r="AO415" s="170"/>
      <c r="AP415" s="170"/>
      <c r="AQ415" s="170"/>
      <c r="AR415" s="170"/>
      <c r="AS415" s="170"/>
      <c r="AT415" s="170"/>
      <c r="AU415" s="170"/>
      <c r="AV415" s="170"/>
      <c r="AW415" s="170"/>
      <c r="AX415" s="170"/>
      <c r="AY415" s="170"/>
    </row>
    <row r="416" spans="1:51" ht="15">
      <c r="A416" s="170"/>
      <c r="B416" s="122"/>
      <c r="C416" s="177"/>
      <c r="D416" s="177"/>
      <c r="E416" s="177"/>
      <c r="F416" s="127"/>
      <c r="G416" s="127"/>
      <c r="H416" s="127"/>
      <c r="I416" s="177"/>
      <c r="J416" s="131"/>
      <c r="K416" s="223"/>
      <c r="L416" s="170"/>
      <c r="M416" s="170"/>
      <c r="N416" s="170"/>
      <c r="O416" s="170"/>
      <c r="P416" s="170"/>
      <c r="Q416" s="170"/>
      <c r="R416" s="170"/>
      <c r="S416" s="170"/>
      <c r="T416" s="170"/>
      <c r="U416" s="170"/>
      <c r="V416" s="170"/>
      <c r="W416" s="170"/>
      <c r="X416" s="170"/>
      <c r="Y416" s="170"/>
      <c r="Z416" s="170"/>
      <c r="AA416" s="170"/>
      <c r="AB416" s="170"/>
      <c r="AC416" s="170"/>
      <c r="AD416" s="170"/>
      <c r="AE416" s="170"/>
      <c r="AF416" s="170"/>
      <c r="AG416" s="170"/>
      <c r="AH416" s="170"/>
      <c r="AI416" s="170"/>
      <c r="AJ416" s="170"/>
      <c r="AK416" s="170"/>
      <c r="AL416" s="170"/>
      <c r="AM416" s="170"/>
      <c r="AN416" s="170"/>
      <c r="AO416" s="170"/>
      <c r="AP416" s="170"/>
      <c r="AQ416" s="170"/>
      <c r="AR416" s="170"/>
      <c r="AS416" s="170"/>
      <c r="AT416" s="170"/>
      <c r="AU416" s="170"/>
      <c r="AV416" s="170"/>
      <c r="AW416" s="170"/>
      <c r="AX416" s="170"/>
      <c r="AY416" s="170"/>
    </row>
    <row r="417" spans="1:51" ht="15">
      <c r="A417" s="170"/>
      <c r="B417" s="118">
        <v>17</v>
      </c>
      <c r="C417" s="71" t="s">
        <v>776</v>
      </c>
      <c r="D417" s="71"/>
      <c r="E417" s="71"/>
      <c r="F417" s="107"/>
      <c r="G417" s="107"/>
      <c r="H417" s="107"/>
      <c r="I417" s="136" t="s">
        <v>777</v>
      </c>
      <c r="J417" s="130"/>
      <c r="K417" s="223"/>
      <c r="L417" s="170"/>
      <c r="M417" s="170"/>
      <c r="N417" s="170"/>
      <c r="O417" s="170"/>
      <c r="P417" s="170"/>
      <c r="Q417" s="170"/>
      <c r="R417" s="170"/>
      <c r="S417" s="170"/>
      <c r="T417" s="170"/>
      <c r="U417" s="170"/>
      <c r="V417" s="170"/>
      <c r="W417" s="170"/>
      <c r="X417" s="170"/>
      <c r="Y417" s="170"/>
      <c r="Z417" s="170"/>
      <c r="AA417" s="170"/>
      <c r="AB417" s="170"/>
      <c r="AC417" s="170"/>
      <c r="AD417" s="170"/>
      <c r="AE417" s="170"/>
      <c r="AF417" s="170"/>
      <c r="AG417" s="170"/>
      <c r="AH417" s="170"/>
      <c r="AI417" s="170"/>
      <c r="AJ417" s="170"/>
      <c r="AK417" s="170"/>
      <c r="AL417" s="170"/>
      <c r="AM417" s="170"/>
      <c r="AN417" s="170"/>
      <c r="AO417" s="170"/>
      <c r="AP417" s="170"/>
      <c r="AQ417" s="170"/>
      <c r="AR417" s="170"/>
      <c r="AS417" s="170"/>
      <c r="AT417" s="170"/>
      <c r="AU417" s="170"/>
      <c r="AV417" s="170"/>
      <c r="AW417" s="170"/>
      <c r="AX417" s="170"/>
      <c r="AY417" s="170"/>
    </row>
    <row r="418" spans="1:51" ht="15">
      <c r="A418" s="170"/>
      <c r="B418" s="140"/>
      <c r="C418" s="177"/>
      <c r="D418" s="177"/>
      <c r="E418" s="177"/>
      <c r="F418" s="127"/>
      <c r="G418" s="127"/>
      <c r="H418" s="127"/>
      <c r="I418" s="177"/>
      <c r="J418" s="131"/>
      <c r="K418" s="223"/>
      <c r="L418" s="170"/>
      <c r="M418" s="170"/>
      <c r="N418" s="170"/>
      <c r="O418" s="170"/>
      <c r="P418" s="170"/>
      <c r="Q418" s="170"/>
      <c r="R418" s="170"/>
      <c r="S418" s="170"/>
      <c r="T418" s="170"/>
      <c r="U418" s="170"/>
      <c r="V418" s="170"/>
      <c r="W418" s="170"/>
      <c r="X418" s="170"/>
      <c r="Y418" s="170"/>
      <c r="Z418" s="170"/>
      <c r="AA418" s="170"/>
      <c r="AB418" s="170"/>
      <c r="AC418" s="170"/>
      <c r="AD418" s="170"/>
      <c r="AE418" s="170"/>
      <c r="AF418" s="170"/>
      <c r="AG418" s="170"/>
      <c r="AH418" s="170"/>
      <c r="AI418" s="170"/>
      <c r="AJ418" s="170"/>
      <c r="AK418" s="170"/>
      <c r="AL418" s="170"/>
      <c r="AM418" s="170"/>
      <c r="AN418" s="170"/>
      <c r="AO418" s="170"/>
      <c r="AP418" s="170"/>
      <c r="AQ418" s="170"/>
      <c r="AR418" s="170"/>
      <c r="AS418" s="170"/>
      <c r="AT418" s="170"/>
      <c r="AU418" s="170"/>
      <c r="AV418" s="170"/>
      <c r="AW418" s="170"/>
      <c r="AX418" s="170"/>
      <c r="AY418" s="170"/>
    </row>
    <row r="419" spans="1:51" ht="15">
      <c r="A419" s="170"/>
      <c r="B419" s="118">
        <v>18</v>
      </c>
      <c r="C419" s="71" t="s">
        <v>778</v>
      </c>
      <c r="D419" s="71"/>
      <c r="E419" s="71"/>
      <c r="F419" s="107"/>
      <c r="G419" s="107"/>
      <c r="H419" s="107"/>
      <c r="I419" s="136" t="s">
        <v>779</v>
      </c>
      <c r="J419" s="130"/>
      <c r="K419" s="223"/>
      <c r="L419" s="170"/>
      <c r="M419" s="170"/>
      <c r="N419" s="170"/>
      <c r="O419" s="170"/>
      <c r="P419" s="170"/>
      <c r="Q419" s="170"/>
      <c r="R419" s="170"/>
      <c r="S419" s="170"/>
      <c r="T419" s="170"/>
      <c r="U419" s="170"/>
      <c r="V419" s="170"/>
      <c r="W419" s="170"/>
      <c r="X419" s="170"/>
      <c r="Y419" s="170"/>
      <c r="Z419" s="170"/>
      <c r="AA419" s="170"/>
      <c r="AB419" s="170"/>
      <c r="AC419" s="170"/>
      <c r="AD419" s="170"/>
      <c r="AE419" s="170"/>
      <c r="AF419" s="170"/>
      <c r="AG419" s="170"/>
      <c r="AH419" s="170"/>
      <c r="AI419" s="170"/>
      <c r="AJ419" s="170"/>
      <c r="AK419" s="170"/>
      <c r="AL419" s="170"/>
      <c r="AM419" s="170"/>
      <c r="AN419" s="170"/>
      <c r="AO419" s="170"/>
      <c r="AP419" s="170"/>
      <c r="AQ419" s="170"/>
      <c r="AR419" s="170"/>
      <c r="AS419" s="170"/>
      <c r="AT419" s="170"/>
      <c r="AU419" s="170"/>
      <c r="AV419" s="170"/>
      <c r="AW419" s="170"/>
      <c r="AX419" s="170"/>
      <c r="AY419" s="170"/>
    </row>
    <row r="420" spans="1:51" s="292" customFormat="1" ht="15">
      <c r="A420" s="287"/>
      <c r="B420" s="122"/>
      <c r="C420" s="123" t="s">
        <v>1152</v>
      </c>
      <c r="D420" s="123"/>
      <c r="E420" s="123"/>
      <c r="F420" s="124"/>
      <c r="G420" s="124"/>
      <c r="H420" s="124"/>
      <c r="I420" s="288"/>
      <c r="J420" s="341">
        <f>SUM(J426:J427)</f>
        <v>3102</v>
      </c>
      <c r="K420" s="293"/>
      <c r="L420" s="287"/>
      <c r="M420" s="287"/>
      <c r="N420" s="287"/>
      <c r="O420" s="287"/>
      <c r="P420" s="287"/>
      <c r="Q420" s="287"/>
      <c r="R420" s="287"/>
      <c r="S420" s="287"/>
      <c r="T420" s="287"/>
      <c r="U420" s="287"/>
      <c r="V420" s="287"/>
      <c r="W420" s="287"/>
      <c r="X420" s="287"/>
      <c r="Y420" s="287"/>
      <c r="Z420" s="287"/>
      <c r="AA420" s="287"/>
      <c r="AB420" s="287"/>
      <c r="AC420" s="287"/>
      <c r="AD420" s="287"/>
      <c r="AE420" s="287"/>
      <c r="AF420" s="287"/>
      <c r="AG420" s="287"/>
      <c r="AH420" s="287"/>
      <c r="AI420" s="287"/>
      <c r="AJ420" s="287"/>
      <c r="AK420" s="287"/>
      <c r="AL420" s="287"/>
      <c r="AM420" s="287"/>
      <c r="AN420" s="287"/>
      <c r="AO420" s="287"/>
      <c r="AP420" s="287"/>
      <c r="AQ420" s="287"/>
      <c r="AR420" s="287"/>
      <c r="AS420" s="287"/>
      <c r="AT420" s="287"/>
      <c r="AU420" s="287"/>
      <c r="AV420" s="287"/>
      <c r="AW420" s="287"/>
      <c r="AX420" s="287"/>
      <c r="AY420" s="287"/>
    </row>
    <row r="421" spans="1:51" s="171" customFormat="1" ht="15">
      <c r="A421" s="170"/>
      <c r="B421" s="122"/>
      <c r="C421" s="177" t="s">
        <v>1148</v>
      </c>
      <c r="D421" s="177">
        <v>22</v>
      </c>
      <c r="E421" s="177"/>
      <c r="F421" s="127"/>
      <c r="G421" s="127"/>
      <c r="H421" s="127"/>
      <c r="I421" s="141"/>
      <c r="J421" s="131"/>
      <c r="K421" s="223"/>
      <c r="L421" s="170"/>
      <c r="M421" s="170"/>
      <c r="N421" s="170"/>
      <c r="O421" s="170"/>
      <c r="P421" s="170"/>
      <c r="Q421" s="170"/>
      <c r="R421" s="170"/>
      <c r="S421" s="170"/>
      <c r="T421" s="170"/>
      <c r="U421" s="170"/>
      <c r="V421" s="170"/>
      <c r="W421" s="170"/>
      <c r="X421" s="170"/>
      <c r="Y421" s="170"/>
      <c r="Z421" s="170"/>
      <c r="AA421" s="170"/>
      <c r="AB421" s="170"/>
      <c r="AC421" s="170"/>
      <c r="AD421" s="170"/>
      <c r="AE421" s="170"/>
      <c r="AF421" s="170"/>
      <c r="AG421" s="170"/>
      <c r="AH421" s="170"/>
      <c r="AI421" s="170"/>
      <c r="AJ421" s="170"/>
      <c r="AK421" s="170"/>
      <c r="AL421" s="170"/>
      <c r="AM421" s="170"/>
      <c r="AN421" s="170"/>
      <c r="AO421" s="170"/>
      <c r="AP421" s="170"/>
      <c r="AQ421" s="170"/>
      <c r="AR421" s="170"/>
      <c r="AS421" s="170"/>
      <c r="AT421" s="170"/>
      <c r="AU421" s="170"/>
      <c r="AV421" s="170"/>
      <c r="AW421" s="170"/>
      <c r="AX421" s="170"/>
      <c r="AY421" s="170"/>
    </row>
    <row r="422" spans="1:51" s="171" customFormat="1" ht="15">
      <c r="A422" s="170"/>
      <c r="B422" s="122"/>
      <c r="C422" s="177" t="s">
        <v>1149</v>
      </c>
      <c r="D422" s="177">
        <v>22</v>
      </c>
      <c r="E422" s="177"/>
      <c r="F422" s="127"/>
      <c r="G422" s="127"/>
      <c r="H422" s="127"/>
      <c r="I422" s="141"/>
      <c r="J422" s="131"/>
      <c r="K422" s="223"/>
      <c r="L422" s="170"/>
      <c r="M422" s="170"/>
      <c r="N422" s="170"/>
      <c r="O422" s="170"/>
      <c r="P422" s="170"/>
      <c r="Q422" s="170"/>
      <c r="R422" s="170"/>
      <c r="S422" s="170"/>
      <c r="T422" s="170"/>
      <c r="U422" s="170"/>
      <c r="V422" s="170"/>
      <c r="W422" s="170"/>
      <c r="X422" s="170"/>
      <c r="Y422" s="170"/>
      <c r="Z422" s="170"/>
      <c r="AA422" s="170"/>
      <c r="AB422" s="170"/>
      <c r="AC422" s="170"/>
      <c r="AD422" s="170"/>
      <c r="AE422" s="170"/>
      <c r="AF422" s="170"/>
      <c r="AG422" s="170"/>
      <c r="AH422" s="170"/>
      <c r="AI422" s="170"/>
      <c r="AJ422" s="170"/>
      <c r="AK422" s="170"/>
      <c r="AL422" s="170"/>
      <c r="AM422" s="170"/>
      <c r="AN422" s="170"/>
      <c r="AO422" s="170"/>
      <c r="AP422" s="170"/>
      <c r="AQ422" s="170"/>
      <c r="AR422" s="170"/>
      <c r="AS422" s="170"/>
      <c r="AT422" s="170"/>
      <c r="AU422" s="170"/>
      <c r="AV422" s="170"/>
      <c r="AW422" s="170"/>
      <c r="AX422" s="170"/>
      <c r="AY422" s="170"/>
    </row>
    <row r="423" spans="1:51" s="171" customFormat="1" ht="15">
      <c r="A423" s="170"/>
      <c r="B423" s="122"/>
      <c r="C423" s="177" t="s">
        <v>1150</v>
      </c>
      <c r="D423" s="177">
        <v>11</v>
      </c>
      <c r="E423" s="177"/>
      <c r="F423" s="127"/>
      <c r="G423" s="127"/>
      <c r="H423" s="127"/>
      <c r="I423" s="141"/>
      <c r="J423" s="131"/>
      <c r="K423" s="223"/>
      <c r="L423" s="170"/>
      <c r="M423" s="170"/>
      <c r="N423" s="170"/>
      <c r="O423" s="170"/>
      <c r="P423" s="170"/>
      <c r="Q423" s="170"/>
      <c r="R423" s="170"/>
      <c r="S423" s="170"/>
      <c r="T423" s="170"/>
      <c r="U423" s="170"/>
      <c r="V423" s="170"/>
      <c r="W423" s="170"/>
      <c r="X423" s="170"/>
      <c r="Y423" s="170"/>
      <c r="Z423" s="170"/>
      <c r="AA423" s="170"/>
      <c r="AB423" s="170"/>
      <c r="AC423" s="170"/>
      <c r="AD423" s="170"/>
      <c r="AE423" s="170"/>
      <c r="AF423" s="170"/>
      <c r="AG423" s="170"/>
      <c r="AH423" s="170"/>
      <c r="AI423" s="170"/>
      <c r="AJ423" s="170"/>
      <c r="AK423" s="170"/>
      <c r="AL423" s="170"/>
      <c r="AM423" s="170"/>
      <c r="AN423" s="170"/>
      <c r="AO423" s="170"/>
      <c r="AP423" s="170"/>
      <c r="AQ423" s="170"/>
      <c r="AR423" s="170"/>
      <c r="AS423" s="170"/>
      <c r="AT423" s="170"/>
      <c r="AU423" s="170"/>
      <c r="AV423" s="170"/>
      <c r="AW423" s="170"/>
      <c r="AX423" s="170"/>
      <c r="AY423" s="170"/>
    </row>
    <row r="424" spans="1:51" s="171" customFormat="1" ht="25.5">
      <c r="A424" s="170"/>
      <c r="B424" s="122"/>
      <c r="C424" s="340" t="s">
        <v>1153</v>
      </c>
      <c r="D424" s="177">
        <v>36</v>
      </c>
      <c r="E424" s="177"/>
      <c r="F424" s="127"/>
      <c r="G424" s="127"/>
      <c r="H424" s="127"/>
      <c r="I424" s="141"/>
      <c r="J424" s="131"/>
      <c r="K424" s="223"/>
      <c r="L424" s="170"/>
      <c r="M424" s="170"/>
      <c r="N424" s="170"/>
      <c r="O424" s="170"/>
      <c r="P424" s="170"/>
      <c r="Q424" s="170"/>
      <c r="R424" s="170"/>
      <c r="S424" s="170"/>
      <c r="T424" s="170"/>
      <c r="U424" s="170"/>
      <c r="V424" s="170"/>
      <c r="W424" s="170"/>
      <c r="X424" s="170"/>
      <c r="Y424" s="170"/>
      <c r="Z424" s="170"/>
      <c r="AA424" s="170"/>
      <c r="AB424" s="170"/>
      <c r="AC424" s="170"/>
      <c r="AD424" s="170"/>
      <c r="AE424" s="170"/>
      <c r="AF424" s="170"/>
      <c r="AG424" s="170"/>
      <c r="AH424" s="170"/>
      <c r="AI424" s="170"/>
      <c r="AJ424" s="170"/>
      <c r="AK424" s="170"/>
      <c r="AL424" s="170"/>
      <c r="AM424" s="170"/>
      <c r="AN424" s="170"/>
      <c r="AO424" s="170"/>
      <c r="AP424" s="170"/>
      <c r="AQ424" s="170"/>
      <c r="AR424" s="170"/>
      <c r="AS424" s="170"/>
      <c r="AT424" s="170"/>
      <c r="AU424" s="170"/>
      <c r="AV424" s="170"/>
      <c r="AW424" s="170"/>
      <c r="AX424" s="170"/>
      <c r="AY424" s="170"/>
    </row>
    <row r="425" spans="1:51" s="171" customFormat="1" ht="15">
      <c r="A425" s="170"/>
      <c r="B425" s="122"/>
      <c r="C425" s="177"/>
      <c r="D425" s="177"/>
      <c r="E425" s="177"/>
      <c r="F425" s="127"/>
      <c r="G425" s="127"/>
      <c r="H425" s="127"/>
      <c r="I425" s="141"/>
      <c r="J425" s="131"/>
      <c r="K425" s="223"/>
      <c r="L425" s="170"/>
      <c r="M425" s="170"/>
      <c r="N425" s="170"/>
      <c r="O425" s="170"/>
      <c r="P425" s="170"/>
      <c r="Q425" s="170"/>
      <c r="R425" s="170"/>
      <c r="S425" s="170"/>
      <c r="T425" s="170"/>
      <c r="U425" s="170"/>
      <c r="V425" s="170"/>
      <c r="W425" s="170"/>
      <c r="X425" s="170"/>
      <c r="Y425" s="170"/>
      <c r="Z425" s="170"/>
      <c r="AA425" s="170"/>
      <c r="AB425" s="170"/>
      <c r="AC425" s="170"/>
      <c r="AD425" s="170"/>
      <c r="AE425" s="170"/>
      <c r="AF425" s="170"/>
      <c r="AG425" s="170"/>
      <c r="AH425" s="170"/>
      <c r="AI425" s="170"/>
      <c r="AJ425" s="170"/>
      <c r="AK425" s="170"/>
      <c r="AL425" s="170"/>
      <c r="AM425" s="170"/>
      <c r="AN425" s="170"/>
      <c r="AO425" s="170"/>
      <c r="AP425" s="170"/>
      <c r="AQ425" s="170"/>
      <c r="AR425" s="170"/>
      <c r="AS425" s="170"/>
      <c r="AT425" s="170"/>
      <c r="AU425" s="170"/>
      <c r="AV425" s="170"/>
      <c r="AW425" s="170"/>
      <c r="AX425" s="170"/>
      <c r="AY425" s="170"/>
    </row>
    <row r="426" spans="1:51" s="171" customFormat="1" ht="15">
      <c r="A426" s="170"/>
      <c r="B426" s="122"/>
      <c r="C426" s="177" t="s">
        <v>1147</v>
      </c>
      <c r="D426" s="177"/>
      <c r="E426" s="177"/>
      <c r="F426" s="127"/>
      <c r="G426" s="127">
        <f>D421*D423*3</f>
        <v>726</v>
      </c>
      <c r="H426" s="127"/>
      <c r="I426" s="141"/>
      <c r="J426" s="131">
        <f>G426</f>
        <v>726</v>
      </c>
      <c r="K426" s="223"/>
      <c r="L426" s="170"/>
      <c r="M426" s="170"/>
      <c r="N426" s="170"/>
      <c r="O426" s="170"/>
      <c r="P426" s="170"/>
      <c r="Q426" s="170"/>
      <c r="R426" s="170"/>
      <c r="S426" s="170"/>
      <c r="T426" s="170"/>
      <c r="U426" s="170"/>
      <c r="V426" s="170"/>
      <c r="W426" s="170"/>
      <c r="X426" s="170"/>
      <c r="Y426" s="170"/>
      <c r="Z426" s="170"/>
      <c r="AA426" s="170"/>
      <c r="AB426" s="170"/>
      <c r="AC426" s="170"/>
      <c r="AD426" s="170"/>
      <c r="AE426" s="170"/>
      <c r="AF426" s="170"/>
      <c r="AG426" s="170"/>
      <c r="AH426" s="170"/>
      <c r="AI426" s="170"/>
      <c r="AJ426" s="170"/>
      <c r="AK426" s="170"/>
      <c r="AL426" s="170"/>
      <c r="AM426" s="170"/>
      <c r="AN426" s="170"/>
      <c r="AO426" s="170"/>
      <c r="AP426" s="170"/>
      <c r="AQ426" s="170"/>
      <c r="AR426" s="170"/>
      <c r="AS426" s="170"/>
      <c r="AT426" s="170"/>
      <c r="AU426" s="170"/>
      <c r="AV426" s="170"/>
      <c r="AW426" s="170"/>
      <c r="AX426" s="170"/>
      <c r="AY426" s="170"/>
    </row>
    <row r="427" spans="1:51" s="171" customFormat="1" ht="15">
      <c r="A427" s="170"/>
      <c r="B427" s="122"/>
      <c r="C427" s="177" t="s">
        <v>1151</v>
      </c>
      <c r="D427" s="177"/>
      <c r="E427" s="177"/>
      <c r="F427" s="127"/>
      <c r="G427" s="127">
        <f>D422*D424*3</f>
        <v>2376</v>
      </c>
      <c r="H427" s="127"/>
      <c r="I427" s="141"/>
      <c r="J427" s="131">
        <f>G427</f>
        <v>2376</v>
      </c>
      <c r="K427" s="223"/>
      <c r="L427" s="170"/>
      <c r="M427" s="170"/>
      <c r="N427" s="170"/>
      <c r="O427" s="170"/>
      <c r="P427" s="170"/>
      <c r="Q427" s="170"/>
      <c r="R427" s="170"/>
      <c r="S427" s="170"/>
      <c r="T427" s="170"/>
      <c r="U427" s="170"/>
      <c r="V427" s="170"/>
      <c r="W427" s="170"/>
      <c r="X427" s="170"/>
      <c r="Y427" s="170"/>
      <c r="Z427" s="170"/>
      <c r="AA427" s="170"/>
      <c r="AB427" s="170"/>
      <c r="AC427" s="170"/>
      <c r="AD427" s="170"/>
      <c r="AE427" s="170"/>
      <c r="AF427" s="170"/>
      <c r="AG427" s="170"/>
      <c r="AH427" s="170"/>
      <c r="AI427" s="170"/>
      <c r="AJ427" s="170"/>
      <c r="AK427" s="170"/>
      <c r="AL427" s="170"/>
      <c r="AM427" s="170"/>
      <c r="AN427" s="170"/>
      <c r="AO427" s="170"/>
      <c r="AP427" s="170"/>
      <c r="AQ427" s="170"/>
      <c r="AR427" s="170"/>
      <c r="AS427" s="170"/>
      <c r="AT427" s="170"/>
      <c r="AU427" s="170"/>
      <c r="AV427" s="170"/>
      <c r="AW427" s="170"/>
      <c r="AX427" s="170"/>
      <c r="AY427" s="170"/>
    </row>
    <row r="428" spans="1:51" s="171" customFormat="1" ht="15">
      <c r="A428" s="170"/>
      <c r="B428" s="122"/>
      <c r="C428" s="177"/>
      <c r="D428" s="177"/>
      <c r="E428" s="177"/>
      <c r="F428" s="127"/>
      <c r="G428" s="127"/>
      <c r="H428" s="127"/>
      <c r="I428" s="141"/>
      <c r="J428" s="131"/>
      <c r="K428" s="223"/>
      <c r="L428" s="170"/>
      <c r="M428" s="170"/>
      <c r="N428" s="170"/>
      <c r="O428" s="170"/>
      <c r="P428" s="170"/>
      <c r="Q428" s="170"/>
      <c r="R428" s="170"/>
      <c r="S428" s="170"/>
      <c r="T428" s="170"/>
      <c r="U428" s="170"/>
      <c r="V428" s="170"/>
      <c r="W428" s="170"/>
      <c r="X428" s="170"/>
      <c r="Y428" s="170"/>
      <c r="Z428" s="170"/>
      <c r="AA428" s="170"/>
      <c r="AB428" s="170"/>
      <c r="AC428" s="170"/>
      <c r="AD428" s="170"/>
      <c r="AE428" s="170"/>
      <c r="AF428" s="170"/>
      <c r="AG428" s="170"/>
      <c r="AH428" s="170"/>
      <c r="AI428" s="170"/>
      <c r="AJ428" s="170"/>
      <c r="AK428" s="170"/>
      <c r="AL428" s="170"/>
      <c r="AM428" s="170"/>
      <c r="AN428" s="170"/>
      <c r="AO428" s="170"/>
      <c r="AP428" s="170"/>
      <c r="AQ428" s="170"/>
      <c r="AR428" s="170"/>
      <c r="AS428" s="170"/>
      <c r="AT428" s="170"/>
      <c r="AU428" s="170"/>
      <c r="AV428" s="170"/>
      <c r="AW428" s="170"/>
      <c r="AX428" s="170"/>
      <c r="AY428" s="170"/>
    </row>
    <row r="429" spans="1:51" ht="15">
      <c r="A429" s="170"/>
      <c r="B429" s="118">
        <v>19</v>
      </c>
      <c r="C429" s="71" t="s">
        <v>780</v>
      </c>
      <c r="D429" s="71"/>
      <c r="E429" s="71"/>
      <c r="F429" s="107"/>
      <c r="G429" s="107"/>
      <c r="H429" s="107"/>
      <c r="I429" s="142"/>
      <c r="J429" s="130"/>
      <c r="K429" s="223"/>
      <c r="L429" s="170"/>
      <c r="M429" s="170"/>
      <c r="N429" s="170"/>
      <c r="O429" s="170"/>
      <c r="P429" s="170"/>
      <c r="Q429" s="170"/>
      <c r="R429" s="170"/>
      <c r="S429" s="170"/>
      <c r="T429" s="170"/>
      <c r="U429" s="170"/>
      <c r="V429" s="170"/>
      <c r="W429" s="170"/>
      <c r="X429" s="170"/>
      <c r="Y429" s="170"/>
      <c r="Z429" s="170"/>
      <c r="AA429" s="170"/>
      <c r="AB429" s="170"/>
      <c r="AC429" s="170"/>
      <c r="AD429" s="170"/>
      <c r="AE429" s="170"/>
      <c r="AF429" s="170"/>
      <c r="AG429" s="170"/>
      <c r="AH429" s="170"/>
      <c r="AI429" s="170"/>
      <c r="AJ429" s="170"/>
      <c r="AK429" s="170"/>
      <c r="AL429" s="170"/>
      <c r="AM429" s="170"/>
      <c r="AN429" s="170"/>
      <c r="AO429" s="170"/>
      <c r="AP429" s="170"/>
      <c r="AQ429" s="170"/>
      <c r="AR429" s="170"/>
      <c r="AS429" s="170"/>
      <c r="AT429" s="170"/>
      <c r="AU429" s="170"/>
      <c r="AV429" s="170"/>
      <c r="AW429" s="170"/>
      <c r="AX429" s="170"/>
      <c r="AY429" s="170"/>
    </row>
    <row r="430" spans="1:51" ht="15">
      <c r="A430" s="170"/>
      <c r="B430" s="175" t="s">
        <v>781</v>
      </c>
      <c r="C430" s="143" t="s">
        <v>782</v>
      </c>
      <c r="D430" s="172" t="s">
        <v>23</v>
      </c>
      <c r="E430" s="172">
        <v>9</v>
      </c>
      <c r="F430" s="101"/>
      <c r="G430" s="101"/>
      <c r="H430" s="101"/>
      <c r="I430" s="178"/>
      <c r="J430" s="139">
        <f>SUM(J431:J439)</f>
        <v>9</v>
      </c>
      <c r="K430" s="223"/>
      <c r="L430" s="170"/>
      <c r="M430" s="170"/>
      <c r="N430" s="170"/>
      <c r="O430" s="170"/>
      <c r="P430" s="170"/>
      <c r="Q430" s="170"/>
      <c r="R430" s="170"/>
      <c r="S430" s="170"/>
      <c r="T430" s="170"/>
      <c r="U430" s="170"/>
      <c r="V430" s="170"/>
      <c r="W430" s="170"/>
      <c r="X430" s="170"/>
      <c r="Y430" s="170"/>
      <c r="Z430" s="170"/>
      <c r="AA430" s="170"/>
      <c r="AB430" s="170"/>
      <c r="AC430" s="170"/>
      <c r="AD430" s="170"/>
      <c r="AE430" s="170"/>
      <c r="AF430" s="170"/>
      <c r="AG430" s="170"/>
      <c r="AH430" s="170"/>
      <c r="AI430" s="170"/>
      <c r="AJ430" s="170"/>
      <c r="AK430" s="170"/>
      <c r="AL430" s="170"/>
      <c r="AM430" s="170"/>
      <c r="AN430" s="170"/>
      <c r="AO430" s="170"/>
      <c r="AP430" s="170"/>
      <c r="AQ430" s="170"/>
      <c r="AR430" s="170"/>
      <c r="AS430" s="170"/>
      <c r="AT430" s="170"/>
      <c r="AU430" s="170"/>
      <c r="AV430" s="170"/>
      <c r="AW430" s="170"/>
      <c r="AX430" s="170"/>
      <c r="AY430" s="170"/>
    </row>
    <row r="431" spans="1:51" s="171" customFormat="1" ht="15">
      <c r="A431" s="170"/>
      <c r="B431" s="175"/>
      <c r="C431" s="179" t="s">
        <v>783</v>
      </c>
      <c r="D431" s="172"/>
      <c r="E431" s="172">
        <v>1</v>
      </c>
      <c r="F431" s="101"/>
      <c r="G431" s="101"/>
      <c r="H431" s="101"/>
      <c r="I431" s="178"/>
      <c r="J431" s="139">
        <v>1</v>
      </c>
      <c r="K431" s="223"/>
      <c r="L431" s="170"/>
      <c r="M431" s="170"/>
      <c r="N431" s="170"/>
      <c r="O431" s="170"/>
      <c r="P431" s="170"/>
      <c r="Q431" s="170"/>
      <c r="R431" s="170"/>
      <c r="S431" s="170"/>
      <c r="T431" s="170"/>
      <c r="U431" s="170"/>
      <c r="V431" s="170"/>
      <c r="W431" s="170"/>
      <c r="X431" s="170"/>
      <c r="Y431" s="170"/>
      <c r="Z431" s="170"/>
      <c r="AA431" s="170"/>
      <c r="AB431" s="170"/>
      <c r="AC431" s="170"/>
      <c r="AD431" s="170"/>
      <c r="AE431" s="170"/>
      <c r="AF431" s="170"/>
      <c r="AG431" s="170"/>
      <c r="AH431" s="170"/>
      <c r="AI431" s="170"/>
      <c r="AJ431" s="170"/>
      <c r="AK431" s="170"/>
      <c r="AL431" s="170"/>
      <c r="AM431" s="170"/>
      <c r="AN431" s="170"/>
      <c r="AO431" s="170"/>
      <c r="AP431" s="170"/>
      <c r="AQ431" s="170"/>
      <c r="AR431" s="170"/>
      <c r="AS431" s="170"/>
      <c r="AT431" s="170"/>
      <c r="AU431" s="170"/>
      <c r="AV431" s="170"/>
      <c r="AW431" s="170"/>
      <c r="AX431" s="170"/>
      <c r="AY431" s="170"/>
    </row>
    <row r="432" spans="1:51" s="171" customFormat="1" ht="15">
      <c r="A432" s="170"/>
      <c r="B432" s="175"/>
      <c r="C432" s="179" t="s">
        <v>784</v>
      </c>
      <c r="D432" s="172"/>
      <c r="E432" s="172">
        <v>1</v>
      </c>
      <c r="F432" s="101"/>
      <c r="G432" s="101"/>
      <c r="H432" s="101"/>
      <c r="I432" s="178"/>
      <c r="J432" s="139">
        <v>1</v>
      </c>
      <c r="K432" s="223"/>
      <c r="L432" s="170"/>
      <c r="M432" s="170"/>
      <c r="N432" s="170"/>
      <c r="O432" s="170"/>
      <c r="P432" s="170"/>
      <c r="Q432" s="170"/>
      <c r="R432" s="170"/>
      <c r="S432" s="170"/>
      <c r="T432" s="170"/>
      <c r="U432" s="170"/>
      <c r="V432" s="170"/>
      <c r="W432" s="170"/>
      <c r="X432" s="170"/>
      <c r="Y432" s="170"/>
      <c r="Z432" s="170"/>
      <c r="AA432" s="170"/>
      <c r="AB432" s="170"/>
      <c r="AC432" s="170"/>
      <c r="AD432" s="170"/>
      <c r="AE432" s="170"/>
      <c r="AF432" s="170"/>
      <c r="AG432" s="170"/>
      <c r="AH432" s="170"/>
      <c r="AI432" s="170"/>
      <c r="AJ432" s="170"/>
      <c r="AK432" s="170"/>
      <c r="AL432" s="170"/>
      <c r="AM432" s="170"/>
      <c r="AN432" s="170"/>
      <c r="AO432" s="170"/>
      <c r="AP432" s="170"/>
      <c r="AQ432" s="170"/>
      <c r="AR432" s="170"/>
      <c r="AS432" s="170"/>
      <c r="AT432" s="170"/>
      <c r="AU432" s="170"/>
      <c r="AV432" s="170"/>
      <c r="AW432" s="170"/>
      <c r="AX432" s="170"/>
      <c r="AY432" s="170"/>
    </row>
    <row r="433" spans="1:51" s="171" customFormat="1" ht="15">
      <c r="A433" s="170"/>
      <c r="B433" s="175"/>
      <c r="C433" s="179" t="s">
        <v>785</v>
      </c>
      <c r="D433" s="172"/>
      <c r="E433" s="172">
        <v>1</v>
      </c>
      <c r="F433" s="101"/>
      <c r="G433" s="101"/>
      <c r="H433" s="101"/>
      <c r="I433" s="178"/>
      <c r="J433" s="139">
        <v>1</v>
      </c>
      <c r="K433" s="223"/>
      <c r="L433" s="170"/>
      <c r="M433" s="170"/>
      <c r="N433" s="170"/>
      <c r="O433" s="170"/>
      <c r="P433" s="170"/>
      <c r="Q433" s="170"/>
      <c r="R433" s="170"/>
      <c r="S433" s="170"/>
      <c r="T433" s="170"/>
      <c r="U433" s="170"/>
      <c r="V433" s="170"/>
      <c r="W433" s="170"/>
      <c r="X433" s="170"/>
      <c r="Y433" s="170"/>
      <c r="Z433" s="170"/>
      <c r="AA433" s="170"/>
      <c r="AB433" s="170"/>
      <c r="AC433" s="170"/>
      <c r="AD433" s="170"/>
      <c r="AE433" s="170"/>
      <c r="AF433" s="170"/>
      <c r="AG433" s="170"/>
      <c r="AH433" s="170"/>
      <c r="AI433" s="170"/>
      <c r="AJ433" s="170"/>
      <c r="AK433" s="170"/>
      <c r="AL433" s="170"/>
      <c r="AM433" s="170"/>
      <c r="AN433" s="170"/>
      <c r="AO433" s="170"/>
      <c r="AP433" s="170"/>
      <c r="AQ433" s="170"/>
      <c r="AR433" s="170"/>
      <c r="AS433" s="170"/>
      <c r="AT433" s="170"/>
      <c r="AU433" s="170"/>
      <c r="AV433" s="170"/>
      <c r="AW433" s="170"/>
      <c r="AX433" s="170"/>
      <c r="AY433" s="170"/>
    </row>
    <row r="434" spans="1:51" s="171" customFormat="1" ht="15">
      <c r="A434" s="170"/>
      <c r="B434" s="175"/>
      <c r="C434" s="179" t="s">
        <v>786</v>
      </c>
      <c r="D434" s="172"/>
      <c r="E434" s="172">
        <v>1</v>
      </c>
      <c r="F434" s="101"/>
      <c r="G434" s="101"/>
      <c r="H434" s="101"/>
      <c r="I434" s="178"/>
      <c r="J434" s="139">
        <v>1</v>
      </c>
      <c r="K434" s="223"/>
      <c r="L434" s="170"/>
      <c r="M434" s="170"/>
      <c r="N434" s="170"/>
      <c r="O434" s="170"/>
      <c r="P434" s="170"/>
      <c r="Q434" s="170"/>
      <c r="R434" s="170"/>
      <c r="S434" s="170"/>
      <c r="T434" s="170"/>
      <c r="U434" s="170"/>
      <c r="V434" s="170"/>
      <c r="W434" s="170"/>
      <c r="X434" s="170"/>
      <c r="Y434" s="170"/>
      <c r="Z434" s="170"/>
      <c r="AA434" s="170"/>
      <c r="AB434" s="170"/>
      <c r="AC434" s="170"/>
      <c r="AD434" s="170"/>
      <c r="AE434" s="170"/>
      <c r="AF434" s="170"/>
      <c r="AG434" s="170"/>
      <c r="AH434" s="170"/>
      <c r="AI434" s="170"/>
      <c r="AJ434" s="170"/>
      <c r="AK434" s="170"/>
      <c r="AL434" s="170"/>
      <c r="AM434" s="170"/>
      <c r="AN434" s="170"/>
      <c r="AO434" s="170"/>
      <c r="AP434" s="170"/>
      <c r="AQ434" s="170"/>
      <c r="AR434" s="170"/>
      <c r="AS434" s="170"/>
      <c r="AT434" s="170"/>
      <c r="AU434" s="170"/>
      <c r="AV434" s="170"/>
      <c r="AW434" s="170"/>
      <c r="AX434" s="170"/>
      <c r="AY434" s="170"/>
    </row>
    <row r="435" spans="1:51" s="171" customFormat="1" ht="15">
      <c r="A435" s="170"/>
      <c r="B435" s="175"/>
      <c r="C435" s="179" t="s">
        <v>787</v>
      </c>
      <c r="D435" s="172"/>
      <c r="E435" s="172">
        <v>1</v>
      </c>
      <c r="F435" s="101"/>
      <c r="G435" s="101"/>
      <c r="H435" s="101"/>
      <c r="I435" s="178"/>
      <c r="J435" s="139">
        <v>1</v>
      </c>
      <c r="K435" s="223"/>
      <c r="L435" s="170"/>
      <c r="M435" s="170"/>
      <c r="N435" s="170"/>
      <c r="O435" s="170"/>
      <c r="P435" s="170"/>
      <c r="Q435" s="170"/>
      <c r="R435" s="170"/>
      <c r="S435" s="170"/>
      <c r="T435" s="170"/>
      <c r="U435" s="170"/>
      <c r="V435" s="170"/>
      <c r="W435" s="170"/>
      <c r="X435" s="170"/>
      <c r="Y435" s="170"/>
      <c r="Z435" s="170"/>
      <c r="AA435" s="170"/>
      <c r="AB435" s="170"/>
      <c r="AC435" s="170"/>
      <c r="AD435" s="170"/>
      <c r="AE435" s="170"/>
      <c r="AF435" s="170"/>
      <c r="AG435" s="170"/>
      <c r="AH435" s="170"/>
      <c r="AI435" s="170"/>
      <c r="AJ435" s="170"/>
      <c r="AK435" s="170"/>
      <c r="AL435" s="170"/>
      <c r="AM435" s="170"/>
      <c r="AN435" s="170"/>
      <c r="AO435" s="170"/>
      <c r="AP435" s="170"/>
      <c r="AQ435" s="170"/>
      <c r="AR435" s="170"/>
      <c r="AS435" s="170"/>
      <c r="AT435" s="170"/>
      <c r="AU435" s="170"/>
      <c r="AV435" s="170"/>
      <c r="AW435" s="170"/>
      <c r="AX435" s="170"/>
      <c r="AY435" s="170"/>
    </row>
    <row r="436" spans="1:51" s="171" customFormat="1" ht="15">
      <c r="A436" s="170"/>
      <c r="B436" s="175"/>
      <c r="C436" s="179" t="s">
        <v>788</v>
      </c>
      <c r="D436" s="172"/>
      <c r="E436" s="172">
        <v>1</v>
      </c>
      <c r="F436" s="101"/>
      <c r="G436" s="101"/>
      <c r="H436" s="101"/>
      <c r="I436" s="178"/>
      <c r="J436" s="139">
        <v>1</v>
      </c>
      <c r="K436" s="223"/>
      <c r="L436" s="170"/>
      <c r="M436" s="170"/>
      <c r="N436" s="170"/>
      <c r="O436" s="170"/>
      <c r="P436" s="170"/>
      <c r="Q436" s="170"/>
      <c r="R436" s="170"/>
      <c r="S436" s="170"/>
      <c r="T436" s="170"/>
      <c r="U436" s="170"/>
      <c r="V436" s="170"/>
      <c r="W436" s="170"/>
      <c r="X436" s="170"/>
      <c r="Y436" s="170"/>
      <c r="Z436" s="170"/>
      <c r="AA436" s="170"/>
      <c r="AB436" s="170"/>
      <c r="AC436" s="170"/>
      <c r="AD436" s="170"/>
      <c r="AE436" s="170"/>
      <c r="AF436" s="170"/>
      <c r="AG436" s="170"/>
      <c r="AH436" s="170"/>
      <c r="AI436" s="170"/>
      <c r="AJ436" s="170"/>
      <c r="AK436" s="170"/>
      <c r="AL436" s="170"/>
      <c r="AM436" s="170"/>
      <c r="AN436" s="170"/>
      <c r="AO436" s="170"/>
      <c r="AP436" s="170"/>
      <c r="AQ436" s="170"/>
      <c r="AR436" s="170"/>
      <c r="AS436" s="170"/>
      <c r="AT436" s="170"/>
      <c r="AU436" s="170"/>
      <c r="AV436" s="170"/>
      <c r="AW436" s="170"/>
      <c r="AX436" s="170"/>
      <c r="AY436" s="170"/>
    </row>
    <row r="437" spans="1:51" s="171" customFormat="1" ht="15">
      <c r="A437" s="170"/>
      <c r="B437" s="175"/>
      <c r="C437" s="179" t="s">
        <v>789</v>
      </c>
      <c r="D437" s="172"/>
      <c r="E437" s="172">
        <v>1</v>
      </c>
      <c r="F437" s="101"/>
      <c r="G437" s="101"/>
      <c r="H437" s="101"/>
      <c r="I437" s="178"/>
      <c r="J437" s="139">
        <v>1</v>
      </c>
      <c r="K437" s="223"/>
      <c r="L437" s="170"/>
      <c r="M437" s="170"/>
      <c r="N437" s="170"/>
      <c r="O437" s="170"/>
      <c r="P437" s="170"/>
      <c r="Q437" s="170"/>
      <c r="R437" s="170"/>
      <c r="S437" s="170"/>
      <c r="T437" s="170"/>
      <c r="U437" s="170"/>
      <c r="V437" s="170"/>
      <c r="W437" s="170"/>
      <c r="X437" s="170"/>
      <c r="Y437" s="170"/>
      <c r="Z437" s="170"/>
      <c r="AA437" s="170"/>
      <c r="AB437" s="170"/>
      <c r="AC437" s="170"/>
      <c r="AD437" s="170"/>
      <c r="AE437" s="170"/>
      <c r="AF437" s="170"/>
      <c r="AG437" s="170"/>
      <c r="AH437" s="170"/>
      <c r="AI437" s="170"/>
      <c r="AJ437" s="170"/>
      <c r="AK437" s="170"/>
      <c r="AL437" s="170"/>
      <c r="AM437" s="170"/>
      <c r="AN437" s="170"/>
      <c r="AO437" s="170"/>
      <c r="AP437" s="170"/>
      <c r="AQ437" s="170"/>
      <c r="AR437" s="170"/>
      <c r="AS437" s="170"/>
      <c r="AT437" s="170"/>
      <c r="AU437" s="170"/>
      <c r="AV437" s="170"/>
      <c r="AW437" s="170"/>
      <c r="AX437" s="170"/>
      <c r="AY437" s="170"/>
    </row>
    <row r="438" spans="1:51" s="171" customFormat="1" ht="15">
      <c r="A438" s="170"/>
      <c r="B438" s="175"/>
      <c r="C438" s="179" t="s">
        <v>790</v>
      </c>
      <c r="D438" s="172"/>
      <c r="E438" s="172">
        <v>1</v>
      </c>
      <c r="F438" s="101"/>
      <c r="G438" s="101"/>
      <c r="H438" s="101"/>
      <c r="I438" s="178"/>
      <c r="J438" s="139">
        <v>1</v>
      </c>
      <c r="K438" s="223"/>
      <c r="L438" s="170"/>
      <c r="M438" s="170"/>
      <c r="N438" s="170"/>
      <c r="O438" s="170"/>
      <c r="P438" s="170"/>
      <c r="Q438" s="170"/>
      <c r="R438" s="170"/>
      <c r="S438" s="170"/>
      <c r="T438" s="170"/>
      <c r="U438" s="170"/>
      <c r="V438" s="170"/>
      <c r="W438" s="170"/>
      <c r="X438" s="170"/>
      <c r="Y438" s="170"/>
      <c r="Z438" s="170"/>
      <c r="AA438" s="170"/>
      <c r="AB438" s="170"/>
      <c r="AC438" s="170"/>
      <c r="AD438" s="170"/>
      <c r="AE438" s="170"/>
      <c r="AF438" s="170"/>
      <c r="AG438" s="170"/>
      <c r="AH438" s="170"/>
      <c r="AI438" s="170"/>
      <c r="AJ438" s="170"/>
      <c r="AK438" s="170"/>
      <c r="AL438" s="170"/>
      <c r="AM438" s="170"/>
      <c r="AN438" s="170"/>
      <c r="AO438" s="170"/>
      <c r="AP438" s="170"/>
      <c r="AQ438" s="170"/>
      <c r="AR438" s="170"/>
      <c r="AS438" s="170"/>
      <c r="AT438" s="170"/>
      <c r="AU438" s="170"/>
      <c r="AV438" s="170"/>
      <c r="AW438" s="170"/>
      <c r="AX438" s="170"/>
      <c r="AY438" s="170"/>
    </row>
    <row r="439" spans="1:51" s="171" customFormat="1" ht="15">
      <c r="A439" s="170"/>
      <c r="B439" s="175"/>
      <c r="C439" s="179" t="s">
        <v>791</v>
      </c>
      <c r="D439" s="172"/>
      <c r="E439" s="172">
        <v>1</v>
      </c>
      <c r="F439" s="101"/>
      <c r="G439" s="101"/>
      <c r="H439" s="101"/>
      <c r="I439" s="178"/>
      <c r="J439" s="139">
        <v>1</v>
      </c>
      <c r="K439" s="223"/>
      <c r="L439" s="170"/>
      <c r="M439" s="170"/>
      <c r="N439" s="170"/>
      <c r="O439" s="170"/>
      <c r="P439" s="170"/>
      <c r="Q439" s="170"/>
      <c r="R439" s="170"/>
      <c r="S439" s="170"/>
      <c r="T439" s="170"/>
      <c r="U439" s="170"/>
      <c r="V439" s="170"/>
      <c r="W439" s="170"/>
      <c r="X439" s="170"/>
      <c r="Y439" s="170"/>
      <c r="Z439" s="170"/>
      <c r="AA439" s="170"/>
      <c r="AB439" s="170"/>
      <c r="AC439" s="170"/>
      <c r="AD439" s="170"/>
      <c r="AE439" s="170"/>
      <c r="AF439" s="170"/>
      <c r="AG439" s="170"/>
      <c r="AH439" s="170"/>
      <c r="AI439" s="170"/>
      <c r="AJ439" s="170"/>
      <c r="AK439" s="170"/>
      <c r="AL439" s="170"/>
      <c r="AM439" s="170"/>
      <c r="AN439" s="170"/>
      <c r="AO439" s="170"/>
      <c r="AP439" s="170"/>
      <c r="AQ439" s="170"/>
      <c r="AR439" s="170"/>
      <c r="AS439" s="170"/>
      <c r="AT439" s="170"/>
      <c r="AU439" s="170"/>
      <c r="AV439" s="170"/>
      <c r="AW439" s="170"/>
      <c r="AX439" s="170"/>
      <c r="AY439" s="170"/>
    </row>
    <row r="440" spans="1:51" ht="15">
      <c r="A440" s="170"/>
      <c r="B440" s="175" t="s">
        <v>792</v>
      </c>
      <c r="C440" s="143" t="s">
        <v>793</v>
      </c>
      <c r="D440" s="172" t="s">
        <v>23</v>
      </c>
      <c r="E440" s="172">
        <v>5</v>
      </c>
      <c r="F440" s="101"/>
      <c r="G440" s="101"/>
      <c r="H440" s="101"/>
      <c r="I440" s="178" t="s">
        <v>1172</v>
      </c>
      <c r="J440" s="139">
        <v>5</v>
      </c>
      <c r="K440" s="223"/>
      <c r="L440" s="170"/>
      <c r="M440" s="170"/>
      <c r="N440" s="170"/>
      <c r="O440" s="170"/>
      <c r="P440" s="170"/>
      <c r="Q440" s="170"/>
      <c r="R440" s="170"/>
      <c r="S440" s="170"/>
      <c r="T440" s="170"/>
      <c r="U440" s="170"/>
      <c r="V440" s="170"/>
      <c r="W440" s="170"/>
      <c r="X440" s="170"/>
      <c r="Y440" s="170"/>
      <c r="Z440" s="170"/>
      <c r="AA440" s="170"/>
      <c r="AB440" s="170"/>
      <c r="AC440" s="170"/>
      <c r="AD440" s="170"/>
      <c r="AE440" s="170"/>
      <c r="AF440" s="170"/>
      <c r="AG440" s="170"/>
      <c r="AH440" s="170"/>
      <c r="AI440" s="170"/>
      <c r="AJ440" s="170"/>
      <c r="AK440" s="170"/>
      <c r="AL440" s="170"/>
      <c r="AM440" s="170"/>
      <c r="AN440" s="170"/>
      <c r="AO440" s="170"/>
      <c r="AP440" s="170"/>
      <c r="AQ440" s="170"/>
      <c r="AR440" s="170"/>
      <c r="AS440" s="170"/>
      <c r="AT440" s="170"/>
      <c r="AU440" s="170"/>
      <c r="AV440" s="170"/>
      <c r="AW440" s="170"/>
      <c r="AX440" s="170"/>
      <c r="AY440" s="170"/>
    </row>
    <row r="441" spans="1:51" ht="15">
      <c r="A441" s="170"/>
      <c r="B441" s="175" t="s">
        <v>794</v>
      </c>
      <c r="C441" s="143" t="s">
        <v>795</v>
      </c>
      <c r="D441" s="172" t="s">
        <v>23</v>
      </c>
      <c r="E441" s="172">
        <v>1</v>
      </c>
      <c r="F441" s="101"/>
      <c r="G441" s="101"/>
      <c r="H441" s="101"/>
      <c r="I441" s="178" t="s">
        <v>796</v>
      </c>
      <c r="J441" s="139">
        <f t="shared" ref="J441" si="38">E441</f>
        <v>1</v>
      </c>
      <c r="K441" s="223"/>
      <c r="L441" s="170"/>
      <c r="M441" s="170"/>
      <c r="N441" s="170"/>
      <c r="O441" s="170"/>
      <c r="P441" s="170"/>
      <c r="Q441" s="170"/>
      <c r="R441" s="170"/>
      <c r="S441" s="170"/>
      <c r="T441" s="170"/>
      <c r="U441" s="170"/>
      <c r="V441" s="170"/>
      <c r="W441" s="170"/>
      <c r="X441" s="170"/>
      <c r="Y441" s="170"/>
      <c r="Z441" s="170"/>
      <c r="AA441" s="170"/>
      <c r="AB441" s="170"/>
      <c r="AC441" s="170"/>
      <c r="AD441" s="170"/>
      <c r="AE441" s="170"/>
      <c r="AF441" s="170"/>
      <c r="AG441" s="170"/>
      <c r="AH441" s="170"/>
      <c r="AI441" s="170"/>
      <c r="AJ441" s="170"/>
      <c r="AK441" s="170"/>
      <c r="AL441" s="170"/>
      <c r="AM441" s="170"/>
      <c r="AN441" s="170"/>
      <c r="AO441" s="170"/>
      <c r="AP441" s="170"/>
      <c r="AQ441" s="170"/>
      <c r="AR441" s="170"/>
      <c r="AS441" s="170"/>
      <c r="AT441" s="170"/>
      <c r="AU441" s="170"/>
      <c r="AV441" s="170"/>
      <c r="AW441" s="170"/>
      <c r="AX441" s="170"/>
      <c r="AY441" s="170"/>
    </row>
    <row r="442" spans="1:51" ht="15">
      <c r="A442" s="170"/>
      <c r="B442" s="122"/>
      <c r="C442" s="177"/>
      <c r="D442" s="177"/>
      <c r="E442" s="177"/>
      <c r="F442" s="127"/>
      <c r="G442" s="127"/>
      <c r="H442" s="127"/>
      <c r="I442" s="141"/>
      <c r="J442" s="131"/>
      <c r="K442" s="223"/>
      <c r="L442" s="170"/>
      <c r="M442" s="170"/>
      <c r="N442" s="170"/>
      <c r="O442" s="170"/>
      <c r="P442" s="170"/>
      <c r="Q442" s="170"/>
      <c r="R442" s="170"/>
      <c r="S442" s="170"/>
      <c r="T442" s="170"/>
      <c r="U442" s="170"/>
      <c r="V442" s="170"/>
      <c r="W442" s="170"/>
      <c r="X442" s="170"/>
      <c r="Y442" s="170"/>
      <c r="Z442" s="170"/>
      <c r="AA442" s="170"/>
      <c r="AB442" s="170"/>
      <c r="AC442" s="170"/>
      <c r="AD442" s="170"/>
      <c r="AE442" s="170"/>
      <c r="AF442" s="170"/>
      <c r="AG442" s="170"/>
      <c r="AH442" s="170"/>
      <c r="AI442" s="170"/>
      <c r="AJ442" s="170"/>
      <c r="AK442" s="170"/>
      <c r="AL442" s="170"/>
      <c r="AM442" s="170"/>
      <c r="AN442" s="170"/>
      <c r="AO442" s="170"/>
      <c r="AP442" s="170"/>
      <c r="AQ442" s="170"/>
      <c r="AR442" s="170"/>
      <c r="AS442" s="170"/>
      <c r="AT442" s="170"/>
      <c r="AU442" s="170"/>
      <c r="AV442" s="170"/>
      <c r="AW442" s="170"/>
      <c r="AX442" s="170"/>
      <c r="AY442" s="170"/>
    </row>
    <row r="443" spans="1:51" ht="15">
      <c r="A443" s="170"/>
      <c r="B443" s="118">
        <v>20</v>
      </c>
      <c r="C443" s="71" t="s">
        <v>797</v>
      </c>
      <c r="D443" s="71"/>
      <c r="E443" s="71"/>
      <c r="F443" s="107"/>
      <c r="G443" s="107"/>
      <c r="H443" s="107"/>
      <c r="I443" s="136" t="s">
        <v>798</v>
      </c>
      <c r="J443" s="130"/>
      <c r="K443" s="223"/>
      <c r="L443" s="170"/>
      <c r="M443" s="170"/>
      <c r="N443" s="170"/>
      <c r="O443" s="170"/>
      <c r="P443" s="170"/>
      <c r="Q443" s="170"/>
      <c r="R443" s="170"/>
      <c r="S443" s="170"/>
      <c r="T443" s="170"/>
      <c r="U443" s="170"/>
      <c r="V443" s="170"/>
      <c r="W443" s="170"/>
      <c r="X443" s="170"/>
      <c r="Y443" s="170"/>
      <c r="Z443" s="170"/>
      <c r="AA443" s="170"/>
      <c r="AB443" s="170"/>
      <c r="AC443" s="170"/>
      <c r="AD443" s="170"/>
      <c r="AE443" s="170"/>
      <c r="AF443" s="170"/>
      <c r="AG443" s="170"/>
      <c r="AH443" s="170"/>
      <c r="AI443" s="170"/>
      <c r="AJ443" s="170"/>
      <c r="AK443" s="170"/>
      <c r="AL443" s="170"/>
      <c r="AM443" s="170"/>
      <c r="AN443" s="170"/>
      <c r="AO443" s="170"/>
      <c r="AP443" s="170"/>
      <c r="AQ443" s="170"/>
      <c r="AR443" s="170"/>
      <c r="AS443" s="170"/>
      <c r="AT443" s="170"/>
      <c r="AU443" s="170"/>
      <c r="AV443" s="170"/>
      <c r="AW443" s="170"/>
      <c r="AX443" s="170"/>
      <c r="AY443" s="170"/>
    </row>
    <row r="444" spans="1:51" ht="15">
      <c r="A444" s="170"/>
      <c r="B444" s="122"/>
      <c r="C444" s="177"/>
      <c r="D444" s="177"/>
      <c r="E444" s="177"/>
      <c r="F444" s="127"/>
      <c r="G444" s="127"/>
      <c r="H444" s="127"/>
      <c r="I444" s="141"/>
      <c r="J444" s="131"/>
      <c r="K444" s="223"/>
      <c r="L444" s="170"/>
      <c r="M444" s="170"/>
      <c r="N444" s="170"/>
      <c r="O444" s="170"/>
      <c r="P444" s="170"/>
      <c r="Q444" s="170"/>
      <c r="R444" s="170"/>
      <c r="S444" s="170"/>
      <c r="T444" s="170"/>
      <c r="U444" s="170"/>
      <c r="V444" s="170"/>
      <c r="W444" s="170"/>
      <c r="X444" s="170"/>
      <c r="Y444" s="170"/>
      <c r="Z444" s="170"/>
      <c r="AA444" s="170"/>
      <c r="AB444" s="170"/>
      <c r="AC444" s="170"/>
      <c r="AD444" s="170"/>
      <c r="AE444" s="170"/>
      <c r="AF444" s="170"/>
      <c r="AG444" s="170"/>
      <c r="AH444" s="170"/>
      <c r="AI444" s="170"/>
      <c r="AJ444" s="170"/>
      <c r="AK444" s="170"/>
      <c r="AL444" s="170"/>
      <c r="AM444" s="170"/>
      <c r="AN444" s="170"/>
      <c r="AO444" s="170"/>
      <c r="AP444" s="170"/>
      <c r="AQ444" s="170"/>
      <c r="AR444" s="170"/>
      <c r="AS444" s="170"/>
      <c r="AT444" s="170"/>
      <c r="AU444" s="170"/>
      <c r="AV444" s="170"/>
      <c r="AW444" s="170"/>
      <c r="AX444" s="170"/>
      <c r="AY444" s="170"/>
    </row>
    <row r="445" spans="1:51">
      <c r="A445" s="170"/>
      <c r="B445" s="118">
        <v>21</v>
      </c>
      <c r="C445" s="71" t="s">
        <v>799</v>
      </c>
      <c r="D445" s="71"/>
      <c r="E445" s="71"/>
      <c r="F445" s="107"/>
      <c r="G445" s="107"/>
      <c r="H445" s="107"/>
      <c r="I445" s="142"/>
      <c r="J445" s="144"/>
      <c r="K445" s="223"/>
      <c r="L445" s="170"/>
      <c r="M445" s="170"/>
      <c r="N445" s="170"/>
      <c r="O445" s="170"/>
      <c r="P445" s="170"/>
      <c r="Q445" s="170"/>
      <c r="R445" s="170"/>
      <c r="S445" s="170"/>
      <c r="T445" s="170"/>
      <c r="U445" s="170"/>
      <c r="V445" s="170"/>
      <c r="W445" s="170"/>
      <c r="X445" s="170"/>
      <c r="Y445" s="170"/>
      <c r="Z445" s="170"/>
      <c r="AA445" s="170"/>
      <c r="AB445" s="170"/>
      <c r="AC445" s="170"/>
      <c r="AD445" s="170"/>
      <c r="AE445" s="170"/>
      <c r="AF445" s="170"/>
      <c r="AG445" s="170"/>
      <c r="AH445" s="170"/>
      <c r="AI445" s="170"/>
      <c r="AJ445" s="170"/>
      <c r="AK445" s="170"/>
      <c r="AL445" s="170"/>
      <c r="AM445" s="170"/>
      <c r="AN445" s="170"/>
      <c r="AO445" s="170"/>
      <c r="AP445" s="170"/>
      <c r="AQ445" s="170"/>
      <c r="AR445" s="170"/>
      <c r="AS445" s="170"/>
      <c r="AT445" s="170"/>
      <c r="AU445" s="170"/>
      <c r="AV445" s="170"/>
      <c r="AW445" s="170"/>
      <c r="AX445" s="170"/>
      <c r="AY445" s="170"/>
    </row>
    <row r="446" spans="1:51" s="171" customFormat="1" ht="15">
      <c r="A446" s="170"/>
      <c r="B446" s="175" t="s">
        <v>800</v>
      </c>
      <c r="C446" s="176" t="s">
        <v>1231</v>
      </c>
      <c r="D446" s="172" t="s">
        <v>801</v>
      </c>
      <c r="E446" s="172">
        <v>4</v>
      </c>
      <c r="F446" s="101"/>
      <c r="G446" s="101"/>
      <c r="H446" s="101"/>
      <c r="I446" s="176" t="s">
        <v>802</v>
      </c>
      <c r="J446" s="139">
        <f t="shared" ref="J446" si="39">E446</f>
        <v>4</v>
      </c>
      <c r="K446" s="223"/>
      <c r="L446" s="170"/>
      <c r="M446" s="170"/>
      <c r="N446" s="170"/>
      <c r="O446" s="170"/>
      <c r="P446" s="170"/>
      <c r="Q446" s="170"/>
      <c r="R446" s="170"/>
      <c r="S446" s="170"/>
      <c r="T446" s="170"/>
      <c r="U446" s="170"/>
      <c r="V446" s="170"/>
      <c r="W446" s="170"/>
      <c r="X446" s="170"/>
      <c r="Y446" s="170"/>
      <c r="Z446" s="170"/>
      <c r="AA446" s="170"/>
      <c r="AB446" s="170"/>
      <c r="AC446" s="170"/>
      <c r="AD446" s="170"/>
      <c r="AE446" s="170"/>
      <c r="AF446" s="170"/>
      <c r="AG446" s="170"/>
      <c r="AH446" s="170"/>
      <c r="AI446" s="170"/>
      <c r="AJ446" s="170"/>
      <c r="AK446" s="170"/>
      <c r="AL446" s="170"/>
      <c r="AM446" s="170"/>
      <c r="AN446" s="170"/>
      <c r="AO446" s="170"/>
      <c r="AP446" s="170"/>
      <c r="AQ446" s="170"/>
      <c r="AR446" s="170"/>
      <c r="AS446" s="170"/>
      <c r="AT446" s="170"/>
      <c r="AU446" s="170"/>
      <c r="AV446" s="170"/>
      <c r="AW446" s="170"/>
      <c r="AX446" s="170"/>
      <c r="AY446" s="170"/>
    </row>
    <row r="447" spans="1:51" ht="15">
      <c r="A447" s="170"/>
      <c r="B447" s="175" t="s">
        <v>1228</v>
      </c>
      <c r="C447" s="176" t="s">
        <v>1232</v>
      </c>
      <c r="D447" s="172" t="s">
        <v>801</v>
      </c>
      <c r="E447" s="172">
        <f>E446</f>
        <v>4</v>
      </c>
      <c r="F447" s="101"/>
      <c r="G447" s="101"/>
      <c r="H447" s="101"/>
      <c r="I447" s="176" t="s">
        <v>802</v>
      </c>
      <c r="J447" s="139">
        <f t="shared" ref="J447" si="40">E447</f>
        <v>4</v>
      </c>
      <c r="K447" s="223"/>
      <c r="L447" s="170"/>
      <c r="M447" s="170"/>
      <c r="N447" s="170"/>
      <c r="O447" s="170"/>
      <c r="P447" s="170"/>
      <c r="Q447" s="170"/>
      <c r="R447" s="170"/>
      <c r="S447" s="170"/>
      <c r="T447" s="170"/>
      <c r="U447" s="170"/>
      <c r="V447" s="170"/>
      <c r="W447" s="170"/>
      <c r="X447" s="170"/>
      <c r="Y447" s="170"/>
      <c r="Z447" s="170"/>
      <c r="AA447" s="170"/>
      <c r="AB447" s="170"/>
      <c r="AC447" s="170"/>
      <c r="AD447" s="170"/>
      <c r="AE447" s="170"/>
      <c r="AF447" s="170"/>
      <c r="AG447" s="170"/>
      <c r="AH447" s="170"/>
      <c r="AI447" s="170"/>
      <c r="AJ447" s="170"/>
      <c r="AK447" s="170"/>
      <c r="AL447" s="170"/>
      <c r="AM447" s="170"/>
      <c r="AN447" s="170"/>
      <c r="AO447" s="170"/>
      <c r="AP447" s="170"/>
      <c r="AQ447" s="170"/>
      <c r="AR447" s="170"/>
      <c r="AS447" s="170"/>
      <c r="AT447" s="170"/>
      <c r="AU447" s="170"/>
      <c r="AV447" s="170"/>
      <c r="AW447" s="170"/>
      <c r="AX447" s="170"/>
      <c r="AY447" s="170"/>
    </row>
    <row r="448" spans="1:51" ht="15">
      <c r="A448" s="170"/>
      <c r="B448" s="122"/>
      <c r="C448" s="177"/>
      <c r="D448" s="177"/>
      <c r="E448" s="177"/>
      <c r="F448" s="127"/>
      <c r="G448" s="127"/>
      <c r="H448" s="127"/>
      <c r="I448" s="141"/>
      <c r="J448" s="131"/>
      <c r="K448" s="223"/>
      <c r="L448" s="170"/>
      <c r="M448" s="170"/>
      <c r="N448" s="170"/>
      <c r="O448" s="170"/>
      <c r="P448" s="170"/>
      <c r="Q448" s="170"/>
      <c r="R448" s="170"/>
      <c r="S448" s="170"/>
      <c r="T448" s="170"/>
      <c r="U448" s="170"/>
      <c r="V448" s="170"/>
      <c r="W448" s="170"/>
      <c r="X448" s="170"/>
      <c r="Y448" s="170"/>
      <c r="Z448" s="170"/>
      <c r="AA448" s="170"/>
      <c r="AB448" s="170"/>
      <c r="AC448" s="170"/>
      <c r="AD448" s="170"/>
      <c r="AE448" s="170"/>
      <c r="AF448" s="170"/>
      <c r="AG448" s="170"/>
      <c r="AH448" s="170"/>
      <c r="AI448" s="170"/>
      <c r="AJ448" s="170"/>
      <c r="AK448" s="170"/>
      <c r="AL448" s="170"/>
      <c r="AM448" s="170"/>
      <c r="AN448" s="170"/>
      <c r="AO448" s="170"/>
      <c r="AP448" s="170"/>
      <c r="AQ448" s="170"/>
      <c r="AR448" s="170"/>
      <c r="AS448" s="170"/>
      <c r="AT448" s="170"/>
      <c r="AU448" s="170"/>
      <c r="AV448" s="170"/>
      <c r="AW448" s="170"/>
      <c r="AX448" s="170"/>
      <c r="AY448" s="170"/>
    </row>
    <row r="449" spans="1:51" ht="15">
      <c r="A449" s="170"/>
      <c r="B449" s="118">
        <v>22</v>
      </c>
      <c r="C449" s="71" t="s">
        <v>803</v>
      </c>
      <c r="D449" s="71"/>
      <c r="E449" s="71"/>
      <c r="F449" s="107"/>
      <c r="G449" s="107"/>
      <c r="H449" s="107"/>
      <c r="I449" s="136" t="s">
        <v>804</v>
      </c>
      <c r="J449" s="130"/>
      <c r="K449" s="223"/>
      <c r="L449" s="170"/>
      <c r="M449" s="170"/>
      <c r="N449" s="170"/>
      <c r="O449" s="170"/>
      <c r="P449" s="170"/>
      <c r="Q449" s="170"/>
      <c r="R449" s="170"/>
      <c r="S449" s="170"/>
      <c r="T449" s="170"/>
      <c r="U449" s="170"/>
      <c r="V449" s="170"/>
      <c r="W449" s="170"/>
      <c r="X449" s="170"/>
      <c r="Y449" s="170"/>
      <c r="Z449" s="170"/>
      <c r="AA449" s="170"/>
      <c r="AB449" s="170"/>
      <c r="AC449" s="170"/>
      <c r="AD449" s="170"/>
      <c r="AE449" s="170"/>
      <c r="AF449" s="170"/>
      <c r="AG449" s="170"/>
      <c r="AH449" s="170"/>
      <c r="AI449" s="170"/>
      <c r="AJ449" s="170"/>
      <c r="AK449" s="170"/>
      <c r="AL449" s="170"/>
      <c r="AM449" s="170"/>
      <c r="AN449" s="170"/>
      <c r="AO449" s="170"/>
      <c r="AP449" s="170"/>
      <c r="AQ449" s="170"/>
      <c r="AR449" s="170"/>
      <c r="AS449" s="170"/>
      <c r="AT449" s="170"/>
      <c r="AU449" s="170"/>
      <c r="AV449" s="170"/>
      <c r="AW449" s="170"/>
      <c r="AX449" s="170"/>
      <c r="AY449" s="170"/>
    </row>
    <row r="450" spans="1:51" ht="15">
      <c r="A450" s="170"/>
      <c r="B450" s="122"/>
      <c r="C450" s="177"/>
      <c r="D450" s="177"/>
      <c r="E450" s="177"/>
      <c r="F450" s="127"/>
      <c r="G450" s="127"/>
      <c r="H450" s="127"/>
      <c r="I450" s="177"/>
      <c r="J450" s="131"/>
      <c r="K450" s="223"/>
      <c r="L450" s="170"/>
      <c r="M450" s="170"/>
      <c r="N450" s="170"/>
      <c r="O450" s="170"/>
      <c r="P450" s="170"/>
      <c r="Q450" s="170"/>
      <c r="R450" s="170"/>
      <c r="S450" s="170"/>
      <c r="T450" s="170"/>
      <c r="U450" s="170"/>
      <c r="V450" s="170"/>
      <c r="W450" s="170"/>
      <c r="X450" s="170"/>
      <c r="Y450" s="170"/>
      <c r="Z450" s="170"/>
      <c r="AA450" s="170"/>
      <c r="AB450" s="170"/>
      <c r="AC450" s="170"/>
      <c r="AD450" s="170"/>
      <c r="AE450" s="170"/>
      <c r="AF450" s="170"/>
      <c r="AG450" s="170"/>
      <c r="AH450" s="170"/>
      <c r="AI450" s="170"/>
      <c r="AJ450" s="170"/>
      <c r="AK450" s="170"/>
      <c r="AL450" s="170"/>
      <c r="AM450" s="170"/>
      <c r="AN450" s="170"/>
      <c r="AO450" s="170"/>
      <c r="AP450" s="170"/>
      <c r="AQ450" s="170"/>
      <c r="AR450" s="170"/>
      <c r="AS450" s="170"/>
      <c r="AT450" s="170"/>
      <c r="AU450" s="170"/>
      <c r="AV450" s="170"/>
      <c r="AW450" s="170"/>
      <c r="AX450" s="170"/>
      <c r="AY450" s="170"/>
    </row>
    <row r="451" spans="1:51" ht="15">
      <c r="A451" s="170"/>
      <c r="B451" s="145">
        <v>22</v>
      </c>
      <c r="C451" s="74" t="s">
        <v>805</v>
      </c>
      <c r="D451" s="146"/>
      <c r="E451" s="146"/>
      <c r="F451" s="147"/>
      <c r="G451" s="147"/>
      <c r="H451" s="147"/>
      <c r="I451" s="146"/>
      <c r="J451" s="148"/>
      <c r="K451" s="223"/>
      <c r="L451" s="170"/>
      <c r="M451" s="170"/>
      <c r="N451" s="170"/>
      <c r="O451" s="170"/>
      <c r="P451" s="170"/>
      <c r="Q451" s="170"/>
      <c r="R451" s="170"/>
      <c r="S451" s="170"/>
      <c r="T451" s="170"/>
      <c r="U451" s="170"/>
      <c r="V451" s="170"/>
      <c r="W451" s="170"/>
      <c r="X451" s="170"/>
      <c r="Y451" s="170"/>
      <c r="Z451" s="170"/>
      <c r="AA451" s="170"/>
      <c r="AB451" s="170"/>
      <c r="AC451" s="170"/>
      <c r="AD451" s="170"/>
      <c r="AE451" s="170"/>
      <c r="AF451" s="170"/>
      <c r="AG451" s="170"/>
      <c r="AH451" s="170"/>
      <c r="AI451" s="170"/>
      <c r="AJ451" s="170"/>
      <c r="AK451" s="170"/>
      <c r="AL451" s="170"/>
      <c r="AM451" s="170"/>
      <c r="AN451" s="170"/>
      <c r="AO451" s="170"/>
      <c r="AP451" s="170"/>
      <c r="AQ451" s="170"/>
      <c r="AR451" s="170"/>
      <c r="AS451" s="170"/>
      <c r="AT451" s="170"/>
      <c r="AU451" s="170"/>
      <c r="AV451" s="170"/>
      <c r="AW451" s="170"/>
      <c r="AX451" s="170"/>
      <c r="AY451" s="170"/>
    </row>
    <row r="452" spans="1:51" ht="15">
      <c r="A452" s="170"/>
      <c r="B452" s="149" t="s">
        <v>806</v>
      </c>
      <c r="C452" s="150" t="s">
        <v>807</v>
      </c>
      <c r="D452" s="151"/>
      <c r="E452" s="151"/>
      <c r="F452" s="152"/>
      <c r="G452" s="152"/>
      <c r="H452" s="152"/>
      <c r="I452" s="151"/>
      <c r="J452" s="153"/>
      <c r="K452" s="223"/>
      <c r="L452" s="170"/>
      <c r="M452" s="170"/>
      <c r="N452" s="170"/>
      <c r="O452" s="170"/>
      <c r="P452" s="170"/>
      <c r="Q452" s="170"/>
      <c r="R452" s="170"/>
      <c r="S452" s="170"/>
      <c r="T452" s="170"/>
      <c r="U452" s="170"/>
      <c r="V452" s="170"/>
      <c r="W452" s="170"/>
      <c r="X452" s="170"/>
      <c r="Y452" s="170"/>
      <c r="Z452" s="170"/>
      <c r="AA452" s="170"/>
      <c r="AB452" s="170"/>
      <c r="AC452" s="170"/>
      <c r="AD452" s="170"/>
      <c r="AE452" s="170"/>
      <c r="AF452" s="170"/>
      <c r="AG452" s="170"/>
      <c r="AH452" s="170"/>
      <c r="AI452" s="170"/>
      <c r="AJ452" s="170"/>
      <c r="AK452" s="170"/>
      <c r="AL452" s="170"/>
      <c r="AM452" s="170"/>
      <c r="AN452" s="170"/>
      <c r="AO452" s="170"/>
      <c r="AP452" s="170"/>
      <c r="AQ452" s="170"/>
      <c r="AR452" s="170"/>
      <c r="AS452" s="170"/>
      <c r="AT452" s="170"/>
      <c r="AU452" s="170"/>
      <c r="AV452" s="170"/>
      <c r="AW452" s="170"/>
      <c r="AX452" s="170"/>
      <c r="AY452" s="170"/>
    </row>
    <row r="453" spans="1:51" ht="15">
      <c r="A453" s="170"/>
      <c r="B453" s="175" t="s">
        <v>808</v>
      </c>
      <c r="C453" s="177" t="s">
        <v>1234</v>
      </c>
      <c r="D453" s="135" t="s">
        <v>23</v>
      </c>
      <c r="E453" s="135">
        <v>1</v>
      </c>
      <c r="F453" s="101"/>
      <c r="G453" s="101"/>
      <c r="H453" s="101"/>
      <c r="I453" s="177" t="s">
        <v>809</v>
      </c>
      <c r="J453" s="139">
        <f t="shared" ref="J453" si="41">E453</f>
        <v>1</v>
      </c>
      <c r="K453" s="223"/>
      <c r="L453" s="170"/>
      <c r="M453" s="170"/>
      <c r="N453" s="170"/>
      <c r="O453" s="170"/>
      <c r="P453" s="170"/>
      <c r="Q453" s="170"/>
      <c r="R453" s="170"/>
      <c r="S453" s="170"/>
      <c r="T453" s="170"/>
      <c r="U453" s="170"/>
      <c r="V453" s="170"/>
      <c r="W453" s="170"/>
      <c r="X453" s="170"/>
      <c r="Y453" s="170"/>
      <c r="Z453" s="170"/>
      <c r="AA453" s="170"/>
      <c r="AB453" s="170"/>
      <c r="AC453" s="170"/>
      <c r="AD453" s="170"/>
      <c r="AE453" s="170"/>
      <c r="AF453" s="170"/>
      <c r="AG453" s="170"/>
      <c r="AH453" s="170"/>
      <c r="AI453" s="170"/>
      <c r="AJ453" s="170"/>
      <c r="AK453" s="170"/>
      <c r="AL453" s="170"/>
      <c r="AM453" s="170"/>
      <c r="AN453" s="170"/>
      <c r="AO453" s="170"/>
      <c r="AP453" s="170"/>
      <c r="AQ453" s="170"/>
      <c r="AR453" s="170"/>
      <c r="AS453" s="170"/>
      <c r="AT453" s="170"/>
      <c r="AU453" s="170"/>
      <c r="AV453" s="170"/>
      <c r="AW453" s="170"/>
      <c r="AX453" s="170"/>
      <c r="AY453" s="170"/>
    </row>
    <row r="454" spans="1:51" ht="15">
      <c r="A454" s="170"/>
      <c r="B454" s="122"/>
      <c r="C454" s="177"/>
      <c r="D454" s="177"/>
      <c r="E454" s="177"/>
      <c r="F454" s="127"/>
      <c r="G454" s="127"/>
      <c r="H454" s="127"/>
      <c r="I454" s="177"/>
      <c r="J454" s="131"/>
      <c r="K454" s="223"/>
      <c r="L454" s="170"/>
      <c r="M454" s="170"/>
      <c r="N454" s="170"/>
      <c r="O454" s="170"/>
      <c r="P454" s="170"/>
      <c r="Q454" s="170"/>
      <c r="R454" s="170"/>
      <c r="S454" s="170"/>
      <c r="T454" s="170"/>
      <c r="U454" s="170"/>
      <c r="V454" s="170"/>
      <c r="W454" s="170"/>
      <c r="X454" s="170"/>
      <c r="Y454" s="170"/>
      <c r="Z454" s="170"/>
      <c r="AA454" s="170"/>
      <c r="AB454" s="170"/>
      <c r="AC454" s="170"/>
      <c r="AD454" s="170"/>
      <c r="AE454" s="170"/>
      <c r="AF454" s="170"/>
      <c r="AG454" s="170"/>
      <c r="AH454" s="170"/>
      <c r="AI454" s="170"/>
      <c r="AJ454" s="170"/>
      <c r="AK454" s="170"/>
      <c r="AL454" s="170"/>
      <c r="AM454" s="170"/>
      <c r="AN454" s="170"/>
      <c r="AO454" s="170"/>
      <c r="AP454" s="170"/>
      <c r="AQ454" s="170"/>
      <c r="AR454" s="170"/>
      <c r="AS454" s="170"/>
      <c r="AT454" s="170"/>
      <c r="AU454" s="170"/>
      <c r="AV454" s="170"/>
      <c r="AW454" s="170"/>
      <c r="AX454" s="170"/>
      <c r="AY454" s="170"/>
    </row>
    <row r="455" spans="1:51" ht="15">
      <c r="A455" s="170"/>
      <c r="B455" s="118">
        <v>23</v>
      </c>
      <c r="C455" s="71" t="s">
        <v>810</v>
      </c>
      <c r="D455" s="71"/>
      <c r="E455" s="71"/>
      <c r="F455" s="107"/>
      <c r="G455" s="107"/>
      <c r="H455" s="107"/>
      <c r="I455" s="71"/>
      <c r="J455" s="130"/>
      <c r="K455" s="223"/>
      <c r="L455" s="170"/>
      <c r="M455" s="170"/>
      <c r="N455" s="170"/>
      <c r="O455" s="170"/>
      <c r="P455" s="170"/>
      <c r="Q455" s="170"/>
      <c r="R455" s="170"/>
      <c r="S455" s="170"/>
      <c r="T455" s="170"/>
      <c r="U455" s="170"/>
      <c r="V455" s="170"/>
      <c r="W455" s="170"/>
      <c r="X455" s="170"/>
      <c r="Y455" s="170"/>
      <c r="Z455" s="170"/>
      <c r="AA455" s="170"/>
      <c r="AB455" s="170"/>
      <c r="AC455" s="170"/>
      <c r="AD455" s="170"/>
      <c r="AE455" s="170"/>
      <c r="AF455" s="170"/>
      <c r="AG455" s="170"/>
      <c r="AH455" s="170"/>
      <c r="AI455" s="170"/>
      <c r="AJ455" s="170"/>
      <c r="AK455" s="170"/>
      <c r="AL455" s="170"/>
      <c r="AM455" s="170"/>
      <c r="AN455" s="170"/>
      <c r="AO455" s="170"/>
      <c r="AP455" s="170"/>
      <c r="AQ455" s="170"/>
      <c r="AR455" s="170"/>
      <c r="AS455" s="170"/>
      <c r="AT455" s="170"/>
      <c r="AU455" s="170"/>
      <c r="AV455" s="170"/>
      <c r="AW455" s="170"/>
      <c r="AX455" s="170"/>
      <c r="AY455" s="170"/>
    </row>
    <row r="456" spans="1:51" ht="15">
      <c r="B456" s="154" t="s">
        <v>811</v>
      </c>
      <c r="C456" s="75" t="s">
        <v>812</v>
      </c>
      <c r="D456" s="76" t="s">
        <v>543</v>
      </c>
      <c r="E456" s="76"/>
      <c r="F456" s="110"/>
      <c r="G456" s="110"/>
      <c r="H456" s="110"/>
      <c r="I456" s="75"/>
      <c r="J456" s="230">
        <v>559.83000000000004</v>
      </c>
    </row>
    <row r="457" spans="1:51" s="171" customFormat="1" ht="15">
      <c r="A457" s="170"/>
      <c r="B457" s="154"/>
      <c r="C457" s="75"/>
      <c r="D457" s="76"/>
      <c r="E457" s="76"/>
      <c r="F457" s="110"/>
      <c r="G457" s="110"/>
      <c r="H457" s="110"/>
      <c r="I457" s="75"/>
      <c r="J457" s="230"/>
      <c r="K457" s="168"/>
      <c r="L457" s="170"/>
      <c r="M457" s="170"/>
      <c r="N457" s="170"/>
      <c r="O457" s="170"/>
      <c r="P457" s="170"/>
      <c r="Q457" s="170"/>
      <c r="R457" s="170"/>
      <c r="S457" s="170"/>
      <c r="T457" s="170"/>
      <c r="U457" s="170"/>
      <c r="V457" s="170"/>
      <c r="W457" s="170"/>
      <c r="X457" s="170"/>
      <c r="Y457" s="170"/>
      <c r="Z457" s="170"/>
      <c r="AA457" s="170"/>
      <c r="AB457" s="170"/>
      <c r="AC457" s="170"/>
      <c r="AD457" s="170"/>
      <c r="AE457" s="170"/>
      <c r="AF457" s="170"/>
      <c r="AG457" s="170"/>
      <c r="AH457" s="170"/>
      <c r="AI457" s="170"/>
      <c r="AJ457" s="170"/>
      <c r="AK457" s="170"/>
      <c r="AL457" s="170"/>
      <c r="AM457" s="170"/>
      <c r="AN457" s="170"/>
      <c r="AO457" s="170"/>
      <c r="AP457" s="170"/>
      <c r="AQ457" s="170"/>
      <c r="AR457" s="170"/>
      <c r="AS457" s="170"/>
      <c r="AT457" s="170"/>
      <c r="AU457" s="170"/>
      <c r="AV457" s="170"/>
      <c r="AW457" s="170"/>
      <c r="AX457" s="170"/>
      <c r="AY457" s="170"/>
    </row>
    <row r="458" spans="1:51" s="171" customFormat="1" ht="15">
      <c r="A458" s="170"/>
      <c r="B458" s="118">
        <v>24</v>
      </c>
      <c r="C458" s="71" t="s">
        <v>1257</v>
      </c>
      <c r="D458" s="71"/>
      <c r="E458" s="71"/>
      <c r="F458" s="107"/>
      <c r="G458" s="107"/>
      <c r="H458" s="107"/>
      <c r="I458" s="71"/>
      <c r="J458" s="130"/>
      <c r="K458" s="223"/>
      <c r="L458" s="170"/>
      <c r="M458" s="170"/>
      <c r="N458" s="170"/>
      <c r="O458" s="170"/>
      <c r="P458" s="170"/>
      <c r="Q458" s="170"/>
      <c r="R458" s="170"/>
      <c r="S458" s="170"/>
      <c r="T458" s="170"/>
      <c r="U458" s="170"/>
      <c r="V458" s="170"/>
      <c r="W458" s="170"/>
      <c r="X458" s="170"/>
      <c r="Y458" s="170"/>
      <c r="Z458" s="170"/>
      <c r="AA458" s="170"/>
      <c r="AB458" s="170"/>
      <c r="AC458" s="170"/>
      <c r="AD458" s="170"/>
      <c r="AE458" s="170"/>
      <c r="AF458" s="170"/>
      <c r="AG458" s="170"/>
      <c r="AH458" s="170"/>
      <c r="AI458" s="170"/>
      <c r="AJ458" s="170"/>
      <c r="AK458" s="170"/>
      <c r="AL458" s="170"/>
      <c r="AM458" s="170"/>
      <c r="AN458" s="170"/>
      <c r="AO458" s="170"/>
      <c r="AP458" s="170"/>
      <c r="AQ458" s="170"/>
      <c r="AR458" s="170"/>
      <c r="AS458" s="170"/>
      <c r="AT458" s="170"/>
      <c r="AU458" s="170"/>
      <c r="AV458" s="170"/>
      <c r="AW458" s="170"/>
      <c r="AX458" s="170"/>
      <c r="AY458" s="170"/>
    </row>
    <row r="459" spans="1:51" s="171" customFormat="1" ht="15">
      <c r="A459" s="170"/>
      <c r="B459" s="154"/>
      <c r="C459" s="75"/>
      <c r="D459" s="76"/>
      <c r="E459" s="76"/>
      <c r="F459" s="110"/>
      <c r="G459" s="110"/>
      <c r="H459" s="110"/>
      <c r="I459" s="75"/>
      <c r="J459" s="230"/>
      <c r="K459" s="168"/>
      <c r="L459" s="170"/>
      <c r="M459" s="170"/>
      <c r="N459" s="170"/>
      <c r="O459" s="170"/>
      <c r="P459" s="170"/>
      <c r="Q459" s="170"/>
      <c r="R459" s="170"/>
      <c r="S459" s="170"/>
      <c r="T459" s="170"/>
      <c r="U459" s="170"/>
      <c r="V459" s="170"/>
      <c r="W459" s="170"/>
      <c r="X459" s="170"/>
      <c r="Y459" s="170"/>
      <c r="Z459" s="170"/>
      <c r="AA459" s="170"/>
      <c r="AB459" s="170"/>
      <c r="AC459" s="170"/>
      <c r="AD459" s="170"/>
      <c r="AE459" s="170"/>
      <c r="AF459" s="170"/>
      <c r="AG459" s="170"/>
      <c r="AH459" s="170"/>
      <c r="AI459" s="170"/>
      <c r="AJ459" s="170"/>
      <c r="AK459" s="170"/>
      <c r="AL459" s="170"/>
      <c r="AM459" s="170"/>
      <c r="AN459" s="170"/>
      <c r="AO459" s="170"/>
      <c r="AP459" s="170"/>
      <c r="AQ459" s="170"/>
      <c r="AR459" s="170"/>
      <c r="AS459" s="170"/>
      <c r="AT459" s="170"/>
      <c r="AU459" s="170"/>
      <c r="AV459" s="170"/>
      <c r="AW459" s="170"/>
      <c r="AX459" s="170"/>
      <c r="AY459" s="170"/>
    </row>
    <row r="460" spans="1:51" s="292" customFormat="1" ht="25.5">
      <c r="A460" s="287"/>
      <c r="B460" s="380" t="s">
        <v>1262</v>
      </c>
      <c r="C460" s="368" t="s">
        <v>1258</v>
      </c>
      <c r="D460" s="381" t="s">
        <v>610</v>
      </c>
      <c r="E460" s="381"/>
      <c r="F460" s="382"/>
      <c r="G460" s="382"/>
      <c r="H460" s="382"/>
      <c r="I460" s="383"/>
      <c r="J460" s="384">
        <f>SUM(J461:J464)</f>
        <v>639.4</v>
      </c>
      <c r="K460" s="291"/>
      <c r="L460" s="287"/>
      <c r="M460" s="287"/>
      <c r="N460" s="287"/>
      <c r="O460" s="287"/>
      <c r="P460" s="287"/>
      <c r="Q460" s="287"/>
      <c r="R460" s="287"/>
      <c r="S460" s="287"/>
      <c r="T460" s="287"/>
      <c r="U460" s="287"/>
      <c r="V460" s="287"/>
      <c r="W460" s="287"/>
      <c r="X460" s="287"/>
      <c r="Y460" s="287"/>
      <c r="Z460" s="287"/>
      <c r="AA460" s="287"/>
      <c r="AB460" s="287"/>
      <c r="AC460" s="287"/>
      <c r="AD460" s="287"/>
      <c r="AE460" s="287"/>
      <c r="AF460" s="287"/>
      <c r="AG460" s="287"/>
      <c r="AH460" s="287"/>
      <c r="AI460" s="287"/>
      <c r="AJ460" s="287"/>
      <c r="AK460" s="287"/>
      <c r="AL460" s="287"/>
      <c r="AM460" s="287"/>
      <c r="AN460" s="287"/>
      <c r="AO460" s="287"/>
      <c r="AP460" s="287"/>
      <c r="AQ460" s="287"/>
      <c r="AR460" s="287"/>
      <c r="AS460" s="287"/>
      <c r="AT460" s="287"/>
      <c r="AU460" s="287"/>
      <c r="AV460" s="287"/>
      <c r="AW460" s="287"/>
      <c r="AX460" s="287"/>
      <c r="AY460" s="287"/>
    </row>
    <row r="461" spans="1:51" s="171" customFormat="1" ht="15">
      <c r="A461" s="170"/>
      <c r="B461" s="154"/>
      <c r="C461" s="278"/>
      <c r="D461" s="172"/>
      <c r="E461" s="278">
        <v>2</v>
      </c>
      <c r="F461" s="365">
        <v>60.07</v>
      </c>
      <c r="G461" s="365"/>
      <c r="H461" s="365">
        <v>1.4</v>
      </c>
      <c r="I461" s="372"/>
      <c r="J461" s="367">
        <f>ROUND(F461*H461*E461,2)</f>
        <v>168.2</v>
      </c>
      <c r="K461" s="168"/>
      <c r="L461" s="170"/>
      <c r="M461" s="170"/>
      <c r="N461" s="170"/>
      <c r="O461" s="170"/>
      <c r="P461" s="170"/>
      <c r="Q461" s="170"/>
      <c r="R461" s="170"/>
      <c r="S461" s="170"/>
      <c r="T461" s="170"/>
      <c r="U461" s="170"/>
      <c r="V461" s="170"/>
      <c r="W461" s="170"/>
      <c r="X461" s="170"/>
      <c r="Y461" s="170"/>
      <c r="Z461" s="170"/>
      <c r="AA461" s="170"/>
      <c r="AB461" s="170"/>
      <c r="AC461" s="170"/>
      <c r="AD461" s="170"/>
      <c r="AE461" s="170"/>
      <c r="AF461" s="170"/>
      <c r="AG461" s="170"/>
      <c r="AH461" s="170"/>
      <c r="AI461" s="170"/>
      <c r="AJ461" s="170"/>
      <c r="AK461" s="170"/>
      <c r="AL461" s="170"/>
      <c r="AM461" s="170"/>
      <c r="AN461" s="170"/>
      <c r="AO461" s="170"/>
      <c r="AP461" s="170"/>
      <c r="AQ461" s="170"/>
      <c r="AR461" s="170"/>
      <c r="AS461" s="170"/>
      <c r="AT461" s="170"/>
      <c r="AU461" s="170"/>
      <c r="AV461" s="170"/>
      <c r="AW461" s="170"/>
      <c r="AX461" s="170"/>
      <c r="AY461" s="170"/>
    </row>
    <row r="462" spans="1:51" s="171" customFormat="1" ht="15">
      <c r="A462" s="170"/>
      <c r="B462" s="154"/>
      <c r="C462" s="278"/>
      <c r="D462" s="172"/>
      <c r="E462" s="278">
        <v>2</v>
      </c>
      <c r="F462" s="365">
        <v>24.06</v>
      </c>
      <c r="G462" s="365"/>
      <c r="H462" s="365">
        <v>1.4</v>
      </c>
      <c r="I462" s="372"/>
      <c r="J462" s="367">
        <f t="shared" ref="J462:J464" si="42">ROUND(F462*H462*E462,2)</f>
        <v>67.37</v>
      </c>
      <c r="K462" s="168"/>
      <c r="L462" s="170"/>
      <c r="M462" s="170"/>
      <c r="N462" s="170"/>
      <c r="O462" s="170"/>
      <c r="P462" s="170"/>
      <c r="Q462" s="170"/>
      <c r="R462" s="170"/>
      <c r="S462" s="170"/>
      <c r="T462" s="170"/>
      <c r="U462" s="170"/>
      <c r="V462" s="170"/>
      <c r="W462" s="170"/>
      <c r="X462" s="170"/>
      <c r="Y462" s="170"/>
      <c r="Z462" s="170"/>
      <c r="AA462" s="170"/>
      <c r="AB462" s="170"/>
      <c r="AC462" s="170"/>
      <c r="AD462" s="170"/>
      <c r="AE462" s="170"/>
      <c r="AF462" s="170"/>
      <c r="AG462" s="170"/>
      <c r="AH462" s="170"/>
      <c r="AI462" s="170"/>
      <c r="AJ462" s="170"/>
      <c r="AK462" s="170"/>
      <c r="AL462" s="170"/>
      <c r="AM462" s="170"/>
      <c r="AN462" s="170"/>
      <c r="AO462" s="170"/>
      <c r="AP462" s="170"/>
      <c r="AQ462" s="170"/>
      <c r="AR462" s="170"/>
      <c r="AS462" s="170"/>
      <c r="AT462" s="170"/>
      <c r="AU462" s="170"/>
      <c r="AV462" s="170"/>
      <c r="AW462" s="170"/>
      <c r="AX462" s="170"/>
      <c r="AY462" s="170"/>
    </row>
    <row r="463" spans="1:51" s="171" customFormat="1" ht="15">
      <c r="A463" s="170"/>
      <c r="B463" s="154"/>
      <c r="C463" s="278"/>
      <c r="D463" s="172"/>
      <c r="E463" s="278">
        <v>2</v>
      </c>
      <c r="F463" s="365">
        <v>60.07</v>
      </c>
      <c r="G463" s="365"/>
      <c r="H463" s="365">
        <v>2.4</v>
      </c>
      <c r="I463" s="372"/>
      <c r="J463" s="367">
        <f t="shared" si="42"/>
        <v>288.33999999999997</v>
      </c>
      <c r="K463" s="168"/>
      <c r="L463" s="170"/>
      <c r="M463" s="170"/>
      <c r="N463" s="170"/>
      <c r="O463" s="170"/>
      <c r="P463" s="170"/>
      <c r="Q463" s="170"/>
      <c r="R463" s="170"/>
      <c r="S463" s="170"/>
      <c r="T463" s="170"/>
      <c r="U463" s="170"/>
      <c r="V463" s="170"/>
      <c r="W463" s="170"/>
      <c r="X463" s="170"/>
      <c r="Y463" s="170"/>
      <c r="Z463" s="170"/>
      <c r="AA463" s="170"/>
      <c r="AB463" s="170"/>
      <c r="AC463" s="170"/>
      <c r="AD463" s="170"/>
      <c r="AE463" s="170"/>
      <c r="AF463" s="170"/>
      <c r="AG463" s="170"/>
      <c r="AH463" s="170"/>
      <c r="AI463" s="170"/>
      <c r="AJ463" s="170"/>
      <c r="AK463" s="170"/>
      <c r="AL463" s="170"/>
      <c r="AM463" s="170"/>
      <c r="AN463" s="170"/>
      <c r="AO463" s="170"/>
      <c r="AP463" s="170"/>
      <c r="AQ463" s="170"/>
      <c r="AR463" s="170"/>
      <c r="AS463" s="170"/>
      <c r="AT463" s="170"/>
      <c r="AU463" s="170"/>
      <c r="AV463" s="170"/>
      <c r="AW463" s="170"/>
      <c r="AX463" s="170"/>
      <c r="AY463" s="170"/>
    </row>
    <row r="464" spans="1:51" s="171" customFormat="1" ht="15">
      <c r="A464" s="170"/>
      <c r="B464" s="154"/>
      <c r="C464" s="278"/>
      <c r="D464" s="172"/>
      <c r="E464" s="278">
        <v>2</v>
      </c>
      <c r="F464" s="365">
        <v>24.06</v>
      </c>
      <c r="G464" s="365"/>
      <c r="H464" s="365">
        <v>2.4</v>
      </c>
      <c r="I464" s="372"/>
      <c r="J464" s="367">
        <f t="shared" si="42"/>
        <v>115.49</v>
      </c>
      <c r="K464" s="168"/>
      <c r="L464" s="170"/>
      <c r="M464" s="170"/>
      <c r="N464" s="170"/>
      <c r="O464" s="170"/>
      <c r="P464" s="170"/>
      <c r="Q464" s="170"/>
      <c r="R464" s="170"/>
      <c r="S464" s="170"/>
      <c r="T464" s="170"/>
      <c r="U464" s="170"/>
      <c r="V464" s="170"/>
      <c r="W464" s="170"/>
      <c r="X464" s="170"/>
      <c r="Y464" s="170"/>
      <c r="Z464" s="170"/>
      <c r="AA464" s="170"/>
      <c r="AB464" s="170"/>
      <c r="AC464" s="170"/>
      <c r="AD464" s="170"/>
      <c r="AE464" s="170"/>
      <c r="AF464" s="170"/>
      <c r="AG464" s="170"/>
      <c r="AH464" s="170"/>
      <c r="AI464" s="170"/>
      <c r="AJ464" s="170"/>
      <c r="AK464" s="170"/>
      <c r="AL464" s="170"/>
      <c r="AM464" s="170"/>
      <c r="AN464" s="170"/>
      <c r="AO464" s="170"/>
      <c r="AP464" s="170"/>
      <c r="AQ464" s="170"/>
      <c r="AR464" s="170"/>
      <c r="AS464" s="170"/>
      <c r="AT464" s="170"/>
      <c r="AU464" s="170"/>
      <c r="AV464" s="170"/>
      <c r="AW464" s="170"/>
      <c r="AX464" s="170"/>
      <c r="AY464" s="170"/>
    </row>
    <row r="465" spans="1:51" s="171" customFormat="1" ht="15">
      <c r="A465" s="170"/>
      <c r="B465" s="154"/>
      <c r="C465" s="373"/>
      <c r="D465" s="76"/>
      <c r="E465" s="373"/>
      <c r="F465" s="375"/>
      <c r="G465" s="375"/>
      <c r="H465" s="375"/>
      <c r="I465" s="376"/>
      <c r="J465" s="367"/>
      <c r="K465" s="168"/>
      <c r="L465" s="170"/>
      <c r="M465" s="170"/>
      <c r="N465" s="170"/>
      <c r="O465" s="170"/>
      <c r="P465" s="170"/>
      <c r="Q465" s="170"/>
      <c r="R465" s="170"/>
      <c r="S465" s="170"/>
      <c r="T465" s="170"/>
      <c r="U465" s="170"/>
      <c r="V465" s="170"/>
      <c r="W465" s="170"/>
      <c r="X465" s="170"/>
      <c r="Y465" s="170"/>
      <c r="Z465" s="170"/>
      <c r="AA465" s="170"/>
      <c r="AB465" s="170"/>
      <c r="AC465" s="170"/>
      <c r="AD465" s="170"/>
      <c r="AE465" s="170"/>
      <c r="AF465" s="170"/>
      <c r="AG465" s="170"/>
      <c r="AH465" s="170"/>
      <c r="AI465" s="170"/>
      <c r="AJ465" s="170"/>
      <c r="AK465" s="170"/>
      <c r="AL465" s="170"/>
      <c r="AM465" s="170"/>
      <c r="AN465" s="170"/>
      <c r="AO465" s="170"/>
      <c r="AP465" s="170"/>
      <c r="AQ465" s="170"/>
      <c r="AR465" s="170"/>
      <c r="AS465" s="170"/>
      <c r="AT465" s="170"/>
      <c r="AU465" s="170"/>
      <c r="AV465" s="170"/>
      <c r="AW465" s="170"/>
      <c r="AX465" s="170"/>
      <c r="AY465" s="170"/>
    </row>
    <row r="466" spans="1:51" s="292" customFormat="1" ht="15">
      <c r="A466" s="287"/>
      <c r="B466" s="380" t="s">
        <v>1263</v>
      </c>
      <c r="C466" s="385" t="s">
        <v>1270</v>
      </c>
      <c r="D466" s="381" t="s">
        <v>610</v>
      </c>
      <c r="E466" s="381"/>
      <c r="F466" s="382"/>
      <c r="G466" s="382"/>
      <c r="H466" s="382"/>
      <c r="I466" s="386"/>
      <c r="J466" s="379">
        <f>SUM(J467:J468)</f>
        <v>252.39000000000001</v>
      </c>
      <c r="K466" s="291"/>
      <c r="L466" s="287"/>
      <c r="M466" s="287"/>
      <c r="N466" s="287"/>
      <c r="O466" s="287"/>
      <c r="P466" s="287"/>
      <c r="Q466" s="287"/>
      <c r="R466" s="287"/>
      <c r="S466" s="287"/>
      <c r="T466" s="287"/>
      <c r="U466" s="287"/>
      <c r="V466" s="287"/>
      <c r="W466" s="287"/>
      <c r="X466" s="287"/>
      <c r="Y466" s="287"/>
      <c r="Z466" s="287"/>
      <c r="AA466" s="287"/>
      <c r="AB466" s="287"/>
      <c r="AC466" s="287"/>
      <c r="AD466" s="287"/>
      <c r="AE466" s="287"/>
      <c r="AF466" s="287"/>
      <c r="AG466" s="287"/>
      <c r="AH466" s="287"/>
      <c r="AI466" s="287"/>
      <c r="AJ466" s="287"/>
      <c r="AK466" s="287"/>
      <c r="AL466" s="287"/>
      <c r="AM466" s="287"/>
      <c r="AN466" s="287"/>
      <c r="AO466" s="287"/>
      <c r="AP466" s="287"/>
      <c r="AQ466" s="287"/>
      <c r="AR466" s="287"/>
      <c r="AS466" s="287"/>
      <c r="AT466" s="287"/>
      <c r="AU466" s="287"/>
      <c r="AV466" s="287"/>
      <c r="AW466" s="287"/>
      <c r="AX466" s="287"/>
      <c r="AY466" s="287"/>
    </row>
    <row r="467" spans="1:51" s="171" customFormat="1" ht="15">
      <c r="A467" s="170"/>
      <c r="B467" s="154"/>
      <c r="C467" s="75"/>
      <c r="D467" s="76"/>
      <c r="E467" s="278"/>
      <c r="F467" s="365">
        <v>60.07</v>
      </c>
      <c r="G467" s="365">
        <v>1</v>
      </c>
      <c r="H467" s="365">
        <v>3</v>
      </c>
      <c r="I467" s="366"/>
      <c r="J467" s="367">
        <f>ROUND(F467*G467*H467,2)</f>
        <v>180.21</v>
      </c>
      <c r="K467" s="168"/>
      <c r="L467" s="170"/>
      <c r="M467" s="170"/>
      <c r="N467" s="170"/>
      <c r="O467" s="170"/>
      <c r="P467" s="170"/>
      <c r="Q467" s="170"/>
      <c r="R467" s="170"/>
      <c r="S467" s="170"/>
      <c r="T467" s="170"/>
      <c r="U467" s="170"/>
      <c r="V467" s="170"/>
      <c r="W467" s="170"/>
      <c r="X467" s="170"/>
      <c r="Y467" s="170"/>
      <c r="Z467" s="170"/>
      <c r="AA467" s="170"/>
      <c r="AB467" s="170"/>
      <c r="AC467" s="170"/>
      <c r="AD467" s="170"/>
      <c r="AE467" s="170"/>
      <c r="AF467" s="170"/>
      <c r="AG467" s="170"/>
      <c r="AH467" s="170"/>
      <c r="AI467" s="170"/>
      <c r="AJ467" s="170"/>
      <c r="AK467" s="170"/>
      <c r="AL467" s="170"/>
      <c r="AM467" s="170"/>
      <c r="AN467" s="170"/>
      <c r="AO467" s="170"/>
      <c r="AP467" s="170"/>
      <c r="AQ467" s="170"/>
      <c r="AR467" s="170"/>
      <c r="AS467" s="170"/>
      <c r="AT467" s="170"/>
      <c r="AU467" s="170"/>
      <c r="AV467" s="170"/>
      <c r="AW467" s="170"/>
      <c r="AX467" s="170"/>
      <c r="AY467" s="170"/>
    </row>
    <row r="468" spans="1:51" s="171" customFormat="1" ht="15">
      <c r="A468" s="170"/>
      <c r="B468" s="154"/>
      <c r="C468" s="75"/>
      <c r="D468" s="76"/>
      <c r="E468" s="278"/>
      <c r="F468" s="365">
        <v>24.06</v>
      </c>
      <c r="G468" s="365">
        <v>1</v>
      </c>
      <c r="H468" s="365">
        <v>3</v>
      </c>
      <c r="I468" s="366"/>
      <c r="J468" s="367">
        <f>ROUND(F468*G468*H468,2)</f>
        <v>72.180000000000007</v>
      </c>
      <c r="K468" s="168"/>
      <c r="L468" s="170"/>
      <c r="M468" s="170"/>
      <c r="N468" s="170"/>
      <c r="O468" s="170"/>
      <c r="P468" s="170"/>
      <c r="Q468" s="170"/>
      <c r="R468" s="170"/>
      <c r="S468" s="170"/>
      <c r="T468" s="170"/>
      <c r="U468" s="170"/>
      <c r="V468" s="170"/>
      <c r="W468" s="170"/>
      <c r="X468" s="170"/>
      <c r="Y468" s="170"/>
      <c r="Z468" s="170"/>
      <c r="AA468" s="170"/>
      <c r="AB468" s="170"/>
      <c r="AC468" s="170"/>
      <c r="AD468" s="170"/>
      <c r="AE468" s="170"/>
      <c r="AF468" s="170"/>
      <c r="AG468" s="170"/>
      <c r="AH468" s="170"/>
      <c r="AI468" s="170"/>
      <c r="AJ468" s="170"/>
      <c r="AK468" s="170"/>
      <c r="AL468" s="170"/>
      <c r="AM468" s="170"/>
      <c r="AN468" s="170"/>
      <c r="AO468" s="170"/>
      <c r="AP468" s="170"/>
      <c r="AQ468" s="170"/>
      <c r="AR468" s="170"/>
      <c r="AS468" s="170"/>
      <c r="AT468" s="170"/>
      <c r="AU468" s="170"/>
      <c r="AV468" s="170"/>
      <c r="AW468" s="170"/>
      <c r="AX468" s="170"/>
      <c r="AY468" s="170"/>
    </row>
    <row r="469" spans="1:51" s="171" customFormat="1" ht="15">
      <c r="A469" s="170"/>
      <c r="B469" s="154"/>
      <c r="C469" s="75"/>
      <c r="D469" s="76"/>
      <c r="E469" s="373"/>
      <c r="F469" s="375"/>
      <c r="G469" s="375"/>
      <c r="H469" s="375"/>
      <c r="I469" s="376"/>
      <c r="J469" s="377"/>
      <c r="K469" s="168"/>
      <c r="L469" s="170"/>
      <c r="M469" s="170"/>
      <c r="N469" s="170"/>
      <c r="O469" s="170"/>
      <c r="P469" s="170"/>
      <c r="Q469" s="170"/>
      <c r="R469" s="170"/>
      <c r="S469" s="170"/>
      <c r="T469" s="170"/>
      <c r="U469" s="170"/>
      <c r="V469" s="170"/>
      <c r="W469" s="170"/>
      <c r="X469" s="170"/>
      <c r="Y469" s="170"/>
      <c r="Z469" s="170"/>
      <c r="AA469" s="170"/>
      <c r="AB469" s="170"/>
      <c r="AC469" s="170"/>
      <c r="AD469" s="170"/>
      <c r="AE469" s="170"/>
      <c r="AF469" s="170"/>
      <c r="AG469" s="170"/>
      <c r="AH469" s="170"/>
      <c r="AI469" s="170"/>
      <c r="AJ469" s="170"/>
      <c r="AK469" s="170"/>
      <c r="AL469" s="170"/>
      <c r="AM469" s="170"/>
      <c r="AN469" s="170"/>
      <c r="AO469" s="170"/>
      <c r="AP469" s="170"/>
      <c r="AQ469" s="170"/>
      <c r="AR469" s="170"/>
      <c r="AS469" s="170"/>
      <c r="AT469" s="170"/>
      <c r="AU469" s="170"/>
      <c r="AV469" s="170"/>
      <c r="AW469" s="170"/>
      <c r="AX469" s="170"/>
      <c r="AY469" s="170"/>
    </row>
    <row r="470" spans="1:51" s="292" customFormat="1" ht="25.5">
      <c r="A470" s="287"/>
      <c r="B470" s="380" t="s">
        <v>1264</v>
      </c>
      <c r="C470" s="387" t="s">
        <v>1271</v>
      </c>
      <c r="D470" s="381" t="s">
        <v>543</v>
      </c>
      <c r="E470" s="381"/>
      <c r="F470" s="382"/>
      <c r="G470" s="382"/>
      <c r="H470" s="382"/>
      <c r="I470" s="383"/>
      <c r="J470" s="384">
        <f>SUM(J471:J474)</f>
        <v>639.4</v>
      </c>
      <c r="K470" s="291"/>
      <c r="L470" s="287"/>
      <c r="M470" s="287"/>
      <c r="N470" s="287"/>
      <c r="O470" s="287"/>
      <c r="P470" s="287"/>
      <c r="Q470" s="287"/>
      <c r="R470" s="287"/>
      <c r="S470" s="287"/>
      <c r="T470" s="287"/>
      <c r="U470" s="287"/>
      <c r="V470" s="287"/>
      <c r="W470" s="287"/>
      <c r="X470" s="287"/>
      <c r="Y470" s="287"/>
      <c r="Z470" s="287"/>
      <c r="AA470" s="287"/>
      <c r="AB470" s="287"/>
      <c r="AC470" s="287"/>
      <c r="AD470" s="287"/>
      <c r="AE470" s="287"/>
      <c r="AF470" s="287"/>
      <c r="AG470" s="287"/>
      <c r="AH470" s="287"/>
      <c r="AI470" s="287"/>
      <c r="AJ470" s="287"/>
      <c r="AK470" s="287"/>
      <c r="AL470" s="287"/>
      <c r="AM470" s="287"/>
      <c r="AN470" s="287"/>
      <c r="AO470" s="287"/>
      <c r="AP470" s="287"/>
      <c r="AQ470" s="287"/>
      <c r="AR470" s="287"/>
      <c r="AS470" s="287"/>
      <c r="AT470" s="287"/>
      <c r="AU470" s="287"/>
      <c r="AV470" s="287"/>
      <c r="AW470" s="287"/>
      <c r="AX470" s="287"/>
      <c r="AY470" s="287"/>
    </row>
    <row r="471" spans="1:51" s="171" customFormat="1" ht="15">
      <c r="A471" s="170"/>
      <c r="B471" s="154"/>
      <c r="C471" s="75"/>
      <c r="D471" s="76"/>
      <c r="E471" s="278">
        <v>2</v>
      </c>
      <c r="F471" s="365">
        <v>60.07</v>
      </c>
      <c r="G471" s="365"/>
      <c r="H471" s="365">
        <v>1.4</v>
      </c>
      <c r="I471" s="372"/>
      <c r="J471" s="367">
        <f>ROUND(F471*H471*E471,2)</f>
        <v>168.2</v>
      </c>
      <c r="K471" s="168"/>
      <c r="L471" s="170"/>
      <c r="M471" s="170"/>
      <c r="N471" s="170"/>
      <c r="O471" s="170"/>
      <c r="P471" s="170"/>
      <c r="Q471" s="170"/>
      <c r="R471" s="170"/>
      <c r="S471" s="170"/>
      <c r="T471" s="170"/>
      <c r="U471" s="170"/>
      <c r="V471" s="170"/>
      <c r="W471" s="170"/>
      <c r="X471" s="170"/>
      <c r="Y471" s="170"/>
      <c r="Z471" s="170"/>
      <c r="AA471" s="170"/>
      <c r="AB471" s="170"/>
      <c r="AC471" s="170"/>
      <c r="AD471" s="170"/>
      <c r="AE471" s="170"/>
      <c r="AF471" s="170"/>
      <c r="AG471" s="170"/>
      <c r="AH471" s="170"/>
      <c r="AI471" s="170"/>
      <c r="AJ471" s="170"/>
      <c r="AK471" s="170"/>
      <c r="AL471" s="170"/>
      <c r="AM471" s="170"/>
      <c r="AN471" s="170"/>
      <c r="AO471" s="170"/>
      <c r="AP471" s="170"/>
      <c r="AQ471" s="170"/>
      <c r="AR471" s="170"/>
      <c r="AS471" s="170"/>
      <c r="AT471" s="170"/>
      <c r="AU471" s="170"/>
      <c r="AV471" s="170"/>
      <c r="AW471" s="170"/>
      <c r="AX471" s="170"/>
      <c r="AY471" s="170"/>
    </row>
    <row r="472" spans="1:51" s="171" customFormat="1" ht="15">
      <c r="A472" s="170"/>
      <c r="B472" s="154"/>
      <c r="C472" s="75"/>
      <c r="D472" s="76"/>
      <c r="E472" s="278">
        <v>2</v>
      </c>
      <c r="F472" s="365">
        <v>24.06</v>
      </c>
      <c r="G472" s="365"/>
      <c r="H472" s="365">
        <v>1.4</v>
      </c>
      <c r="I472" s="372"/>
      <c r="J472" s="367">
        <f t="shared" ref="J472:J474" si="43">ROUND(F472*H472*E472,2)</f>
        <v>67.37</v>
      </c>
      <c r="K472" s="168"/>
      <c r="L472" s="170"/>
      <c r="M472" s="170"/>
      <c r="N472" s="170"/>
      <c r="O472" s="170"/>
      <c r="P472" s="170"/>
      <c r="Q472" s="170"/>
      <c r="R472" s="170"/>
      <c r="S472" s="170"/>
      <c r="T472" s="170"/>
      <c r="U472" s="170"/>
      <c r="V472" s="170"/>
      <c r="W472" s="170"/>
      <c r="X472" s="170"/>
      <c r="Y472" s="170"/>
      <c r="Z472" s="170"/>
      <c r="AA472" s="170"/>
      <c r="AB472" s="170"/>
      <c r="AC472" s="170"/>
      <c r="AD472" s="170"/>
      <c r="AE472" s="170"/>
      <c r="AF472" s="170"/>
      <c r="AG472" s="170"/>
      <c r="AH472" s="170"/>
      <c r="AI472" s="170"/>
      <c r="AJ472" s="170"/>
      <c r="AK472" s="170"/>
      <c r="AL472" s="170"/>
      <c r="AM472" s="170"/>
      <c r="AN472" s="170"/>
      <c r="AO472" s="170"/>
      <c r="AP472" s="170"/>
      <c r="AQ472" s="170"/>
      <c r="AR472" s="170"/>
      <c r="AS472" s="170"/>
      <c r="AT472" s="170"/>
      <c r="AU472" s="170"/>
      <c r="AV472" s="170"/>
      <c r="AW472" s="170"/>
      <c r="AX472" s="170"/>
      <c r="AY472" s="170"/>
    </row>
    <row r="473" spans="1:51" s="171" customFormat="1" ht="15">
      <c r="A473" s="170"/>
      <c r="B473" s="154"/>
      <c r="C473" s="75"/>
      <c r="D473" s="76"/>
      <c r="E473" s="278">
        <v>2</v>
      </c>
      <c r="F473" s="365">
        <v>60.07</v>
      </c>
      <c r="G473" s="365"/>
      <c r="H473" s="365">
        <v>2.4</v>
      </c>
      <c r="I473" s="372"/>
      <c r="J473" s="367">
        <f t="shared" si="43"/>
        <v>288.33999999999997</v>
      </c>
      <c r="K473" s="168"/>
      <c r="L473" s="170"/>
      <c r="M473" s="170"/>
      <c r="N473" s="170"/>
      <c r="O473" s="170"/>
      <c r="P473" s="170"/>
      <c r="Q473" s="170"/>
      <c r="R473" s="170"/>
      <c r="S473" s="170"/>
      <c r="T473" s="170"/>
      <c r="U473" s="170"/>
      <c r="V473" s="170"/>
      <c r="W473" s="170"/>
      <c r="X473" s="170"/>
      <c r="Y473" s="170"/>
      <c r="Z473" s="170"/>
      <c r="AA473" s="170"/>
      <c r="AB473" s="170"/>
      <c r="AC473" s="170"/>
      <c r="AD473" s="170"/>
      <c r="AE473" s="170"/>
      <c r="AF473" s="170"/>
      <c r="AG473" s="170"/>
      <c r="AH473" s="170"/>
      <c r="AI473" s="170"/>
      <c r="AJ473" s="170"/>
      <c r="AK473" s="170"/>
      <c r="AL473" s="170"/>
      <c r="AM473" s="170"/>
      <c r="AN473" s="170"/>
      <c r="AO473" s="170"/>
      <c r="AP473" s="170"/>
      <c r="AQ473" s="170"/>
      <c r="AR473" s="170"/>
      <c r="AS473" s="170"/>
      <c r="AT473" s="170"/>
      <c r="AU473" s="170"/>
      <c r="AV473" s="170"/>
      <c r="AW473" s="170"/>
      <c r="AX473" s="170"/>
      <c r="AY473" s="170"/>
    </row>
    <row r="474" spans="1:51" s="171" customFormat="1" ht="15">
      <c r="A474" s="170"/>
      <c r="B474" s="154"/>
      <c r="C474" s="75"/>
      <c r="D474" s="76"/>
      <c r="E474" s="278">
        <v>2</v>
      </c>
      <c r="F474" s="365">
        <v>24.06</v>
      </c>
      <c r="G474" s="365"/>
      <c r="H474" s="365">
        <v>2.4</v>
      </c>
      <c r="I474" s="372"/>
      <c r="J474" s="367">
        <f t="shared" si="43"/>
        <v>115.49</v>
      </c>
      <c r="K474" s="168"/>
      <c r="L474" s="170"/>
      <c r="M474" s="170"/>
      <c r="N474" s="170"/>
      <c r="O474" s="170"/>
      <c r="P474" s="170"/>
      <c r="Q474" s="170"/>
      <c r="R474" s="170"/>
      <c r="S474" s="170"/>
      <c r="T474" s="170"/>
      <c r="U474" s="170"/>
      <c r="V474" s="170"/>
      <c r="W474" s="170"/>
      <c r="X474" s="170"/>
      <c r="Y474" s="170"/>
      <c r="Z474" s="170"/>
      <c r="AA474" s="170"/>
      <c r="AB474" s="170"/>
      <c r="AC474" s="170"/>
      <c r="AD474" s="170"/>
      <c r="AE474" s="170"/>
      <c r="AF474" s="170"/>
      <c r="AG474" s="170"/>
      <c r="AH474" s="170"/>
      <c r="AI474" s="170"/>
      <c r="AJ474" s="170"/>
      <c r="AK474" s="170"/>
      <c r="AL474" s="170"/>
      <c r="AM474" s="170"/>
      <c r="AN474" s="170"/>
      <c r="AO474" s="170"/>
      <c r="AP474" s="170"/>
      <c r="AQ474" s="170"/>
      <c r="AR474" s="170"/>
      <c r="AS474" s="170"/>
      <c r="AT474" s="170"/>
      <c r="AU474" s="170"/>
      <c r="AV474" s="170"/>
      <c r="AW474" s="170"/>
      <c r="AX474" s="170"/>
      <c r="AY474" s="170"/>
    </row>
    <row r="475" spans="1:51" s="171" customFormat="1" ht="15">
      <c r="A475" s="170"/>
      <c r="B475" s="154"/>
      <c r="C475" s="75"/>
      <c r="D475" s="76"/>
      <c r="E475" s="373"/>
      <c r="F475" s="375"/>
      <c r="G475" s="375"/>
      <c r="H475" s="375"/>
      <c r="I475" s="376"/>
      <c r="J475" s="377"/>
      <c r="K475" s="168"/>
      <c r="L475" s="170"/>
      <c r="M475" s="170"/>
      <c r="N475" s="170"/>
      <c r="O475" s="170"/>
      <c r="P475" s="170"/>
      <c r="Q475" s="170"/>
      <c r="R475" s="170"/>
      <c r="S475" s="170"/>
      <c r="T475" s="170"/>
      <c r="U475" s="170"/>
      <c r="V475" s="170"/>
      <c r="W475" s="170"/>
      <c r="X475" s="170"/>
      <c r="Y475" s="170"/>
      <c r="Z475" s="170"/>
      <c r="AA475" s="170"/>
      <c r="AB475" s="170"/>
      <c r="AC475" s="170"/>
      <c r="AD475" s="170"/>
      <c r="AE475" s="170"/>
      <c r="AF475" s="170"/>
      <c r="AG475" s="170"/>
      <c r="AH475" s="170"/>
      <c r="AI475" s="170"/>
      <c r="AJ475" s="170"/>
      <c r="AK475" s="170"/>
      <c r="AL475" s="170"/>
      <c r="AM475" s="170"/>
      <c r="AN475" s="170"/>
      <c r="AO475" s="170"/>
      <c r="AP475" s="170"/>
      <c r="AQ475" s="170"/>
      <c r="AR475" s="170"/>
      <c r="AS475" s="170"/>
      <c r="AT475" s="170"/>
      <c r="AU475" s="170"/>
      <c r="AV475" s="170"/>
      <c r="AW475" s="170"/>
      <c r="AX475" s="170"/>
      <c r="AY475" s="170"/>
    </row>
    <row r="476" spans="1:51" s="292" customFormat="1" ht="51">
      <c r="A476" s="287"/>
      <c r="B476" s="380" t="s">
        <v>1265</v>
      </c>
      <c r="C476" s="387" t="s">
        <v>925</v>
      </c>
      <c r="D476" s="388" t="s">
        <v>543</v>
      </c>
      <c r="E476" s="381"/>
      <c r="F476" s="382"/>
      <c r="G476" s="382"/>
      <c r="H476" s="382"/>
      <c r="I476" s="383"/>
      <c r="J476" s="384">
        <f>SUM(J477:J480)</f>
        <v>639.4</v>
      </c>
      <c r="K476" s="291"/>
      <c r="L476" s="287"/>
      <c r="M476" s="287"/>
      <c r="N476" s="287"/>
      <c r="O476" s="287"/>
      <c r="P476" s="287"/>
      <c r="Q476" s="287"/>
      <c r="R476" s="287"/>
      <c r="S476" s="287"/>
      <c r="T476" s="287"/>
      <c r="U476" s="287"/>
      <c r="V476" s="287"/>
      <c r="W476" s="287"/>
      <c r="X476" s="287"/>
      <c r="Y476" s="287"/>
      <c r="Z476" s="287"/>
      <c r="AA476" s="287"/>
      <c r="AB476" s="287"/>
      <c r="AC476" s="287"/>
      <c r="AD476" s="287"/>
      <c r="AE476" s="287"/>
      <c r="AF476" s="287"/>
      <c r="AG476" s="287"/>
      <c r="AH476" s="287"/>
      <c r="AI476" s="287"/>
      <c r="AJ476" s="287"/>
      <c r="AK476" s="287"/>
      <c r="AL476" s="287"/>
      <c r="AM476" s="287"/>
      <c r="AN476" s="287"/>
      <c r="AO476" s="287"/>
      <c r="AP476" s="287"/>
      <c r="AQ476" s="287"/>
      <c r="AR476" s="287"/>
      <c r="AS476" s="287"/>
      <c r="AT476" s="287"/>
      <c r="AU476" s="287"/>
      <c r="AV476" s="287"/>
      <c r="AW476" s="287"/>
      <c r="AX476" s="287"/>
      <c r="AY476" s="287"/>
    </row>
    <row r="477" spans="1:51" s="171" customFormat="1" ht="15">
      <c r="A477" s="170"/>
      <c r="B477" s="154"/>
      <c r="C477" s="75"/>
      <c r="D477" s="76"/>
      <c r="E477" s="278">
        <v>2</v>
      </c>
      <c r="F477" s="365">
        <v>60.07</v>
      </c>
      <c r="G477" s="365"/>
      <c r="H477" s="365">
        <v>1.4</v>
      </c>
      <c r="I477" s="372"/>
      <c r="J477" s="367">
        <f>ROUND(F477*H477*E477,2)</f>
        <v>168.2</v>
      </c>
      <c r="K477" s="168"/>
      <c r="L477" s="170"/>
      <c r="M477" s="170"/>
      <c r="N477" s="170"/>
      <c r="O477" s="170"/>
      <c r="P477" s="170"/>
      <c r="Q477" s="170"/>
      <c r="R477" s="170"/>
      <c r="S477" s="170"/>
      <c r="T477" s="170"/>
      <c r="U477" s="170"/>
      <c r="V477" s="170"/>
      <c r="W477" s="170"/>
      <c r="X477" s="170"/>
      <c r="Y477" s="170"/>
      <c r="Z477" s="170"/>
      <c r="AA477" s="170"/>
      <c r="AB477" s="170"/>
      <c r="AC477" s="170"/>
      <c r="AD477" s="170"/>
      <c r="AE477" s="170"/>
      <c r="AF477" s="170"/>
      <c r="AG477" s="170"/>
      <c r="AH477" s="170"/>
      <c r="AI477" s="170"/>
      <c r="AJ477" s="170"/>
      <c r="AK477" s="170"/>
      <c r="AL477" s="170"/>
      <c r="AM477" s="170"/>
      <c r="AN477" s="170"/>
      <c r="AO477" s="170"/>
      <c r="AP477" s="170"/>
      <c r="AQ477" s="170"/>
      <c r="AR477" s="170"/>
      <c r="AS477" s="170"/>
      <c r="AT477" s="170"/>
      <c r="AU477" s="170"/>
      <c r="AV477" s="170"/>
      <c r="AW477" s="170"/>
      <c r="AX477" s="170"/>
      <c r="AY477" s="170"/>
    </row>
    <row r="478" spans="1:51" s="171" customFormat="1" ht="15">
      <c r="A478" s="170"/>
      <c r="B478" s="154"/>
      <c r="C478" s="75"/>
      <c r="D478" s="76"/>
      <c r="E478" s="278">
        <v>2</v>
      </c>
      <c r="F478" s="365">
        <v>24.06</v>
      </c>
      <c r="G478" s="365"/>
      <c r="H478" s="365">
        <v>1.4</v>
      </c>
      <c r="I478" s="372"/>
      <c r="J478" s="367">
        <f t="shared" ref="J478:J480" si="44">ROUND(F478*H478*E478,2)</f>
        <v>67.37</v>
      </c>
      <c r="K478" s="168"/>
      <c r="L478" s="170"/>
      <c r="M478" s="170"/>
      <c r="N478" s="170"/>
      <c r="O478" s="170"/>
      <c r="P478" s="170"/>
      <c r="Q478" s="170"/>
      <c r="R478" s="170"/>
      <c r="S478" s="170"/>
      <c r="T478" s="170"/>
      <c r="U478" s="170"/>
      <c r="V478" s="170"/>
      <c r="W478" s="170"/>
      <c r="X478" s="170"/>
      <c r="Y478" s="170"/>
      <c r="Z478" s="170"/>
      <c r="AA478" s="170"/>
      <c r="AB478" s="170"/>
      <c r="AC478" s="170"/>
      <c r="AD478" s="170"/>
      <c r="AE478" s="170"/>
      <c r="AF478" s="170"/>
      <c r="AG478" s="170"/>
      <c r="AH478" s="170"/>
      <c r="AI478" s="170"/>
      <c r="AJ478" s="170"/>
      <c r="AK478" s="170"/>
      <c r="AL478" s="170"/>
      <c r="AM478" s="170"/>
      <c r="AN478" s="170"/>
      <c r="AO478" s="170"/>
      <c r="AP478" s="170"/>
      <c r="AQ478" s="170"/>
      <c r="AR478" s="170"/>
      <c r="AS478" s="170"/>
      <c r="AT478" s="170"/>
      <c r="AU478" s="170"/>
      <c r="AV478" s="170"/>
      <c r="AW478" s="170"/>
      <c r="AX478" s="170"/>
      <c r="AY478" s="170"/>
    </row>
    <row r="479" spans="1:51" s="171" customFormat="1" ht="15">
      <c r="A479" s="170"/>
      <c r="B479" s="154"/>
      <c r="C479" s="75"/>
      <c r="D479" s="76"/>
      <c r="E479" s="278">
        <v>2</v>
      </c>
      <c r="F479" s="365">
        <v>60.07</v>
      </c>
      <c r="G479" s="365"/>
      <c r="H479" s="365">
        <v>2.4</v>
      </c>
      <c r="I479" s="372"/>
      <c r="J479" s="367">
        <f t="shared" si="44"/>
        <v>288.33999999999997</v>
      </c>
      <c r="K479" s="168"/>
      <c r="L479" s="170"/>
      <c r="M479" s="170"/>
      <c r="N479" s="170"/>
      <c r="O479" s="170"/>
      <c r="P479" s="170"/>
      <c r="Q479" s="170"/>
      <c r="R479" s="170"/>
      <c r="S479" s="170"/>
      <c r="T479" s="170"/>
      <c r="U479" s="170"/>
      <c r="V479" s="170"/>
      <c r="W479" s="170"/>
      <c r="X479" s="170"/>
      <c r="Y479" s="170"/>
      <c r="Z479" s="170"/>
      <c r="AA479" s="170"/>
      <c r="AB479" s="170"/>
      <c r="AC479" s="170"/>
      <c r="AD479" s="170"/>
      <c r="AE479" s="170"/>
      <c r="AF479" s="170"/>
      <c r="AG479" s="170"/>
      <c r="AH479" s="170"/>
      <c r="AI479" s="170"/>
      <c r="AJ479" s="170"/>
      <c r="AK479" s="170"/>
      <c r="AL479" s="170"/>
      <c r="AM479" s="170"/>
      <c r="AN479" s="170"/>
      <c r="AO479" s="170"/>
      <c r="AP479" s="170"/>
      <c r="AQ479" s="170"/>
      <c r="AR479" s="170"/>
      <c r="AS479" s="170"/>
      <c r="AT479" s="170"/>
      <c r="AU479" s="170"/>
      <c r="AV479" s="170"/>
      <c r="AW479" s="170"/>
      <c r="AX479" s="170"/>
      <c r="AY479" s="170"/>
    </row>
    <row r="480" spans="1:51" s="171" customFormat="1" ht="15">
      <c r="A480" s="170"/>
      <c r="B480" s="154"/>
      <c r="C480" s="75"/>
      <c r="D480" s="76"/>
      <c r="E480" s="278">
        <v>2</v>
      </c>
      <c r="F480" s="365">
        <v>24.06</v>
      </c>
      <c r="G480" s="365"/>
      <c r="H480" s="365">
        <v>2.4</v>
      </c>
      <c r="I480" s="372"/>
      <c r="J480" s="367">
        <f t="shared" si="44"/>
        <v>115.49</v>
      </c>
      <c r="K480" s="168"/>
      <c r="L480" s="170"/>
      <c r="M480" s="170"/>
      <c r="N480" s="170"/>
      <c r="O480" s="170"/>
      <c r="P480" s="170"/>
      <c r="Q480" s="170"/>
      <c r="R480" s="170"/>
      <c r="S480" s="170"/>
      <c r="T480" s="170"/>
      <c r="U480" s="170"/>
      <c r="V480" s="170"/>
      <c r="W480" s="170"/>
      <c r="X480" s="170"/>
      <c r="Y480" s="170"/>
      <c r="Z480" s="170"/>
      <c r="AA480" s="170"/>
      <c r="AB480" s="170"/>
      <c r="AC480" s="170"/>
      <c r="AD480" s="170"/>
      <c r="AE480" s="170"/>
      <c r="AF480" s="170"/>
      <c r="AG480" s="170"/>
      <c r="AH480" s="170"/>
      <c r="AI480" s="170"/>
      <c r="AJ480" s="170"/>
      <c r="AK480" s="170"/>
      <c r="AL480" s="170"/>
      <c r="AM480" s="170"/>
      <c r="AN480" s="170"/>
      <c r="AO480" s="170"/>
      <c r="AP480" s="170"/>
      <c r="AQ480" s="170"/>
      <c r="AR480" s="170"/>
      <c r="AS480" s="170"/>
      <c r="AT480" s="170"/>
      <c r="AU480" s="170"/>
      <c r="AV480" s="170"/>
      <c r="AW480" s="170"/>
      <c r="AX480" s="170"/>
      <c r="AY480" s="170"/>
    </row>
    <row r="481" spans="1:51" s="171" customFormat="1" ht="15">
      <c r="A481" s="170"/>
      <c r="B481" s="154"/>
      <c r="C481" s="75"/>
      <c r="D481" s="76"/>
      <c r="E481" s="76"/>
      <c r="F481" s="110"/>
      <c r="G481" s="110"/>
      <c r="H481" s="110"/>
      <c r="I481" s="75"/>
      <c r="J481" s="230"/>
      <c r="K481" s="168"/>
      <c r="L481" s="170"/>
      <c r="M481" s="170"/>
      <c r="N481" s="170"/>
      <c r="O481" s="170"/>
      <c r="P481" s="170"/>
      <c r="Q481" s="170"/>
      <c r="R481" s="170"/>
      <c r="S481" s="170"/>
      <c r="T481" s="170"/>
      <c r="U481" s="170"/>
      <c r="V481" s="170"/>
      <c r="W481" s="170"/>
      <c r="X481" s="170"/>
      <c r="Y481" s="170"/>
      <c r="Z481" s="170"/>
      <c r="AA481" s="170"/>
      <c r="AB481" s="170"/>
      <c r="AC481" s="170"/>
      <c r="AD481" s="170"/>
      <c r="AE481" s="170"/>
      <c r="AF481" s="170"/>
      <c r="AG481" s="170"/>
      <c r="AH481" s="170"/>
      <c r="AI481" s="170"/>
      <c r="AJ481" s="170"/>
      <c r="AK481" s="170"/>
      <c r="AL481" s="170"/>
      <c r="AM481" s="170"/>
      <c r="AN481" s="170"/>
      <c r="AO481" s="170"/>
      <c r="AP481" s="170"/>
      <c r="AQ481" s="170"/>
      <c r="AR481" s="170"/>
      <c r="AS481" s="170"/>
      <c r="AT481" s="170"/>
      <c r="AU481" s="170"/>
      <c r="AV481" s="170"/>
      <c r="AW481" s="170"/>
      <c r="AX481" s="170"/>
      <c r="AY481" s="170"/>
    </row>
    <row r="482" spans="1:51" s="292" customFormat="1" ht="25.5">
      <c r="A482" s="287"/>
      <c r="B482" s="380" t="s">
        <v>1266</v>
      </c>
      <c r="C482" s="387" t="s">
        <v>978</v>
      </c>
      <c r="D482" s="388" t="s">
        <v>543</v>
      </c>
      <c r="E482" s="388"/>
      <c r="F482" s="389"/>
      <c r="G482" s="389"/>
      <c r="H482" s="389"/>
      <c r="I482" s="385"/>
      <c r="J482" s="379">
        <f>SUM(J483:J484)</f>
        <v>252.39000000000001</v>
      </c>
      <c r="K482" s="291"/>
      <c r="L482" s="287"/>
      <c r="M482" s="287"/>
      <c r="N482" s="287"/>
      <c r="O482" s="287"/>
      <c r="P482" s="287"/>
      <c r="Q482" s="287"/>
      <c r="R482" s="287"/>
      <c r="S482" s="287"/>
      <c r="T482" s="287"/>
      <c r="U482" s="287"/>
      <c r="V482" s="287"/>
      <c r="W482" s="287"/>
      <c r="X482" s="287"/>
      <c r="Y482" s="287"/>
      <c r="Z482" s="287"/>
      <c r="AA482" s="287"/>
      <c r="AB482" s="287"/>
      <c r="AC482" s="287"/>
      <c r="AD482" s="287"/>
      <c r="AE482" s="287"/>
      <c r="AF482" s="287"/>
      <c r="AG482" s="287"/>
      <c r="AH482" s="287"/>
      <c r="AI482" s="287"/>
      <c r="AJ482" s="287"/>
      <c r="AK482" s="287"/>
      <c r="AL482" s="287"/>
      <c r="AM482" s="287"/>
      <c r="AN482" s="287"/>
      <c r="AO482" s="287"/>
      <c r="AP482" s="287"/>
      <c r="AQ482" s="287"/>
      <c r="AR482" s="287"/>
      <c r="AS482" s="287"/>
      <c r="AT482" s="287"/>
      <c r="AU482" s="287"/>
      <c r="AV482" s="287"/>
      <c r="AW482" s="287"/>
      <c r="AX482" s="287"/>
      <c r="AY482" s="287"/>
    </row>
    <row r="483" spans="1:51" s="171" customFormat="1" ht="15">
      <c r="A483" s="170"/>
      <c r="B483" s="154"/>
      <c r="C483" s="373" t="s">
        <v>1272</v>
      </c>
      <c r="D483" s="374"/>
      <c r="E483" s="374"/>
      <c r="F483" s="378">
        <v>60.07</v>
      </c>
      <c r="G483" s="378">
        <v>1</v>
      </c>
      <c r="H483" s="378">
        <v>3</v>
      </c>
      <c r="I483" s="75"/>
      <c r="J483" s="367">
        <f>ROUND(F483*G483*H483,2)</f>
        <v>180.21</v>
      </c>
      <c r="K483" s="168"/>
      <c r="L483" s="170"/>
      <c r="M483" s="170"/>
      <c r="N483" s="170"/>
      <c r="O483" s="170"/>
      <c r="P483" s="170"/>
      <c r="Q483" s="170"/>
      <c r="R483" s="170"/>
      <c r="S483" s="170"/>
      <c r="T483" s="170"/>
      <c r="U483" s="170"/>
      <c r="V483" s="170"/>
      <c r="W483" s="170"/>
      <c r="X483" s="170"/>
      <c r="Y483" s="170"/>
      <c r="Z483" s="170"/>
      <c r="AA483" s="170"/>
      <c r="AB483" s="170"/>
      <c r="AC483" s="170"/>
      <c r="AD483" s="170"/>
      <c r="AE483" s="170"/>
      <c r="AF483" s="170"/>
      <c r="AG483" s="170"/>
      <c r="AH483" s="170"/>
      <c r="AI483" s="170"/>
      <c r="AJ483" s="170"/>
      <c r="AK483" s="170"/>
      <c r="AL483" s="170"/>
      <c r="AM483" s="170"/>
      <c r="AN483" s="170"/>
      <c r="AO483" s="170"/>
      <c r="AP483" s="170"/>
      <c r="AQ483" s="170"/>
      <c r="AR483" s="170"/>
      <c r="AS483" s="170"/>
      <c r="AT483" s="170"/>
      <c r="AU483" s="170"/>
      <c r="AV483" s="170"/>
      <c r="AW483" s="170"/>
      <c r="AX483" s="170"/>
      <c r="AY483" s="170"/>
    </row>
    <row r="484" spans="1:51" s="171" customFormat="1" ht="15">
      <c r="A484" s="170"/>
      <c r="B484" s="154"/>
      <c r="C484" s="373"/>
      <c r="D484" s="374"/>
      <c r="E484" s="374"/>
      <c r="F484" s="378">
        <v>24.06</v>
      </c>
      <c r="G484" s="378">
        <v>1</v>
      </c>
      <c r="H484" s="378">
        <v>3</v>
      </c>
      <c r="I484" s="75"/>
      <c r="J484" s="367">
        <f>ROUND(F484*G484*H484,2)</f>
        <v>72.180000000000007</v>
      </c>
      <c r="K484" s="168"/>
      <c r="L484" s="170"/>
      <c r="M484" s="170"/>
      <c r="N484" s="170"/>
      <c r="O484" s="170"/>
      <c r="P484" s="170"/>
      <c r="Q484" s="170"/>
      <c r="R484" s="170"/>
      <c r="S484" s="170"/>
      <c r="T484" s="170"/>
      <c r="U484" s="170"/>
      <c r="V484" s="170"/>
      <c r="W484" s="170"/>
      <c r="X484" s="170"/>
      <c r="Y484" s="170"/>
      <c r="Z484" s="170"/>
      <c r="AA484" s="170"/>
      <c r="AB484" s="170"/>
      <c r="AC484" s="170"/>
      <c r="AD484" s="170"/>
      <c r="AE484" s="170"/>
      <c r="AF484" s="170"/>
      <c r="AG484" s="170"/>
      <c r="AH484" s="170"/>
      <c r="AI484" s="170"/>
      <c r="AJ484" s="170"/>
      <c r="AK484" s="170"/>
      <c r="AL484" s="170"/>
      <c r="AM484" s="170"/>
      <c r="AN484" s="170"/>
      <c r="AO484" s="170"/>
      <c r="AP484" s="170"/>
      <c r="AQ484" s="170"/>
      <c r="AR484" s="170"/>
      <c r="AS484" s="170"/>
      <c r="AT484" s="170"/>
      <c r="AU484" s="170"/>
      <c r="AV484" s="170"/>
      <c r="AW484" s="170"/>
      <c r="AX484" s="170"/>
      <c r="AY484" s="170"/>
    </row>
    <row r="485" spans="1:51" s="171" customFormat="1" ht="15">
      <c r="A485" s="170"/>
      <c r="B485" s="154"/>
      <c r="C485" s="75"/>
      <c r="D485" s="76"/>
      <c r="E485" s="76"/>
      <c r="F485" s="110"/>
      <c r="G485" s="110"/>
      <c r="H485" s="110"/>
      <c r="I485" s="75"/>
      <c r="J485" s="230"/>
      <c r="K485" s="168"/>
      <c r="L485" s="170"/>
      <c r="M485" s="170"/>
      <c r="N485" s="170"/>
      <c r="O485" s="170"/>
      <c r="P485" s="170"/>
      <c r="Q485" s="170"/>
      <c r="R485" s="170"/>
      <c r="S485" s="170"/>
      <c r="T485" s="170"/>
      <c r="U485" s="170"/>
      <c r="V485" s="170"/>
      <c r="W485" s="170"/>
      <c r="X485" s="170"/>
      <c r="Y485" s="170"/>
      <c r="Z485" s="170"/>
      <c r="AA485" s="170"/>
      <c r="AB485" s="170"/>
      <c r="AC485" s="170"/>
      <c r="AD485" s="170"/>
      <c r="AE485" s="170"/>
      <c r="AF485" s="170"/>
      <c r="AG485" s="170"/>
      <c r="AH485" s="170"/>
      <c r="AI485" s="170"/>
      <c r="AJ485" s="170"/>
      <c r="AK485" s="170"/>
      <c r="AL485" s="170"/>
      <c r="AM485" s="170"/>
      <c r="AN485" s="170"/>
      <c r="AO485" s="170"/>
      <c r="AP485" s="170"/>
      <c r="AQ485" s="170"/>
      <c r="AR485" s="170"/>
      <c r="AS485" s="170"/>
      <c r="AT485" s="170"/>
      <c r="AU485" s="170"/>
      <c r="AV485" s="170"/>
      <c r="AW485" s="170"/>
      <c r="AX485" s="170"/>
      <c r="AY485" s="170"/>
    </row>
    <row r="486" spans="1:51" s="292" customFormat="1" ht="25.5">
      <c r="A486" s="287"/>
      <c r="B486" s="380" t="s">
        <v>1267</v>
      </c>
      <c r="C486" s="387" t="s">
        <v>930</v>
      </c>
      <c r="D486" s="388" t="s">
        <v>543</v>
      </c>
      <c r="E486" s="381"/>
      <c r="F486" s="382"/>
      <c r="G486" s="382"/>
      <c r="H486" s="382"/>
      <c r="I486" s="383"/>
      <c r="J486" s="384">
        <f>SUM(J487:J490)</f>
        <v>639.4</v>
      </c>
      <c r="K486" s="291"/>
      <c r="L486" s="287"/>
      <c r="M486" s="287"/>
      <c r="N486" s="287"/>
      <c r="O486" s="287"/>
      <c r="P486" s="287"/>
      <c r="Q486" s="287"/>
      <c r="R486" s="287"/>
      <c r="S486" s="287"/>
      <c r="T486" s="287"/>
      <c r="U486" s="287"/>
      <c r="V486" s="287"/>
      <c r="W486" s="287"/>
      <c r="X486" s="287"/>
      <c r="Y486" s="287"/>
      <c r="Z486" s="287"/>
      <c r="AA486" s="287"/>
      <c r="AB486" s="287"/>
      <c r="AC486" s="287"/>
      <c r="AD486" s="287"/>
      <c r="AE486" s="287"/>
      <c r="AF486" s="287"/>
      <c r="AG486" s="287"/>
      <c r="AH486" s="287"/>
      <c r="AI486" s="287"/>
      <c r="AJ486" s="287"/>
      <c r="AK486" s="287"/>
      <c r="AL486" s="287"/>
      <c r="AM486" s="287"/>
      <c r="AN486" s="287"/>
      <c r="AO486" s="287"/>
      <c r="AP486" s="287"/>
      <c r="AQ486" s="287"/>
      <c r="AR486" s="287"/>
      <c r="AS486" s="287"/>
      <c r="AT486" s="287"/>
      <c r="AU486" s="287"/>
      <c r="AV486" s="287"/>
      <c r="AW486" s="287"/>
      <c r="AX486" s="287"/>
      <c r="AY486" s="287"/>
    </row>
    <row r="487" spans="1:51" s="171" customFormat="1" ht="15">
      <c r="A487" s="170"/>
      <c r="B487" s="154"/>
      <c r="C487" s="75"/>
      <c r="D487" s="76"/>
      <c r="E487" s="278">
        <v>2</v>
      </c>
      <c r="F487" s="365">
        <v>60.07</v>
      </c>
      <c r="G487" s="365"/>
      <c r="H487" s="365">
        <v>1.4</v>
      </c>
      <c r="I487" s="372"/>
      <c r="J487" s="367">
        <f>ROUND(F487*H487*E487,2)</f>
        <v>168.2</v>
      </c>
      <c r="K487" s="168"/>
      <c r="L487" s="170"/>
      <c r="M487" s="170"/>
      <c r="N487" s="170"/>
      <c r="O487" s="170"/>
      <c r="P487" s="170"/>
      <c r="Q487" s="170"/>
      <c r="R487" s="170"/>
      <c r="S487" s="170"/>
      <c r="T487" s="170"/>
      <c r="U487" s="170"/>
      <c r="V487" s="170"/>
      <c r="W487" s="170"/>
      <c r="X487" s="170"/>
      <c r="Y487" s="170"/>
      <c r="Z487" s="170"/>
      <c r="AA487" s="170"/>
      <c r="AB487" s="170"/>
      <c r="AC487" s="170"/>
      <c r="AD487" s="170"/>
      <c r="AE487" s="170"/>
      <c r="AF487" s="170"/>
      <c r="AG487" s="170"/>
      <c r="AH487" s="170"/>
      <c r="AI487" s="170"/>
      <c r="AJ487" s="170"/>
      <c r="AK487" s="170"/>
      <c r="AL487" s="170"/>
      <c r="AM487" s="170"/>
      <c r="AN487" s="170"/>
      <c r="AO487" s="170"/>
      <c r="AP487" s="170"/>
      <c r="AQ487" s="170"/>
      <c r="AR487" s="170"/>
      <c r="AS487" s="170"/>
      <c r="AT487" s="170"/>
      <c r="AU487" s="170"/>
      <c r="AV487" s="170"/>
      <c r="AW487" s="170"/>
      <c r="AX487" s="170"/>
      <c r="AY487" s="170"/>
    </row>
    <row r="488" spans="1:51" s="171" customFormat="1" ht="15">
      <c r="A488" s="170"/>
      <c r="B488" s="154"/>
      <c r="C488" s="75"/>
      <c r="D488" s="76"/>
      <c r="E488" s="278">
        <v>2</v>
      </c>
      <c r="F488" s="365">
        <v>24.06</v>
      </c>
      <c r="G488" s="365"/>
      <c r="H488" s="365">
        <v>1.4</v>
      </c>
      <c r="I488" s="372"/>
      <c r="J488" s="367">
        <f t="shared" ref="J488:J490" si="45">ROUND(F488*H488*E488,2)</f>
        <v>67.37</v>
      </c>
      <c r="K488" s="168"/>
      <c r="L488" s="170"/>
      <c r="M488" s="170"/>
      <c r="N488" s="170"/>
      <c r="O488" s="170"/>
      <c r="P488" s="170"/>
      <c r="Q488" s="170"/>
      <c r="R488" s="170"/>
      <c r="S488" s="170"/>
      <c r="T488" s="170"/>
      <c r="U488" s="170"/>
      <c r="V488" s="170"/>
      <c r="W488" s="170"/>
      <c r="X488" s="170"/>
      <c r="Y488" s="170"/>
      <c r="Z488" s="170"/>
      <c r="AA488" s="170"/>
      <c r="AB488" s="170"/>
      <c r="AC488" s="170"/>
      <c r="AD488" s="170"/>
      <c r="AE488" s="170"/>
      <c r="AF488" s="170"/>
      <c r="AG488" s="170"/>
      <c r="AH488" s="170"/>
      <c r="AI488" s="170"/>
      <c r="AJ488" s="170"/>
      <c r="AK488" s="170"/>
      <c r="AL488" s="170"/>
      <c r="AM488" s="170"/>
      <c r="AN488" s="170"/>
      <c r="AO488" s="170"/>
      <c r="AP488" s="170"/>
      <c r="AQ488" s="170"/>
      <c r="AR488" s="170"/>
      <c r="AS488" s="170"/>
      <c r="AT488" s="170"/>
      <c r="AU488" s="170"/>
      <c r="AV488" s="170"/>
      <c r="AW488" s="170"/>
      <c r="AX488" s="170"/>
      <c r="AY488" s="170"/>
    </row>
    <row r="489" spans="1:51" s="171" customFormat="1" ht="15">
      <c r="A489" s="170"/>
      <c r="B489" s="154"/>
      <c r="C489" s="75"/>
      <c r="D489" s="76"/>
      <c r="E489" s="278">
        <v>2</v>
      </c>
      <c r="F489" s="365">
        <v>60.07</v>
      </c>
      <c r="G489" s="365"/>
      <c r="H489" s="365">
        <v>2.4</v>
      </c>
      <c r="I489" s="372"/>
      <c r="J489" s="367">
        <f t="shared" si="45"/>
        <v>288.33999999999997</v>
      </c>
      <c r="K489" s="168"/>
      <c r="L489" s="170"/>
      <c r="M489" s="170"/>
      <c r="N489" s="170"/>
      <c r="O489" s="170"/>
      <c r="P489" s="170"/>
      <c r="Q489" s="170"/>
      <c r="R489" s="170"/>
      <c r="S489" s="170"/>
      <c r="T489" s="170"/>
      <c r="U489" s="170"/>
      <c r="V489" s="170"/>
      <c r="W489" s="170"/>
      <c r="X489" s="170"/>
      <c r="Y489" s="170"/>
      <c r="Z489" s="170"/>
      <c r="AA489" s="170"/>
      <c r="AB489" s="170"/>
      <c r="AC489" s="170"/>
      <c r="AD489" s="170"/>
      <c r="AE489" s="170"/>
      <c r="AF489" s="170"/>
      <c r="AG489" s="170"/>
      <c r="AH489" s="170"/>
      <c r="AI489" s="170"/>
      <c r="AJ489" s="170"/>
      <c r="AK489" s="170"/>
      <c r="AL489" s="170"/>
      <c r="AM489" s="170"/>
      <c r="AN489" s="170"/>
      <c r="AO489" s="170"/>
      <c r="AP489" s="170"/>
      <c r="AQ489" s="170"/>
      <c r="AR489" s="170"/>
      <c r="AS489" s="170"/>
      <c r="AT489" s="170"/>
      <c r="AU489" s="170"/>
      <c r="AV489" s="170"/>
      <c r="AW489" s="170"/>
      <c r="AX489" s="170"/>
      <c r="AY489" s="170"/>
    </row>
    <row r="490" spans="1:51" s="171" customFormat="1" ht="15">
      <c r="A490" s="170"/>
      <c r="B490" s="154"/>
      <c r="C490" s="75"/>
      <c r="D490" s="76"/>
      <c r="E490" s="278">
        <v>2</v>
      </c>
      <c r="F490" s="365">
        <v>24.06</v>
      </c>
      <c r="G490" s="365"/>
      <c r="H490" s="365">
        <v>2.4</v>
      </c>
      <c r="I490" s="372"/>
      <c r="J490" s="367">
        <f t="shared" si="45"/>
        <v>115.49</v>
      </c>
      <c r="K490" s="168"/>
      <c r="L490" s="170"/>
      <c r="M490" s="170"/>
      <c r="N490" s="170"/>
      <c r="O490" s="170"/>
      <c r="P490" s="170"/>
      <c r="Q490" s="170"/>
      <c r="R490" s="170"/>
      <c r="S490" s="170"/>
      <c r="T490" s="170"/>
      <c r="U490" s="170"/>
      <c r="V490" s="170"/>
      <c r="W490" s="170"/>
      <c r="X490" s="170"/>
      <c r="Y490" s="170"/>
      <c r="Z490" s="170"/>
      <c r="AA490" s="170"/>
      <c r="AB490" s="170"/>
      <c r="AC490" s="170"/>
      <c r="AD490" s="170"/>
      <c r="AE490" s="170"/>
      <c r="AF490" s="170"/>
      <c r="AG490" s="170"/>
      <c r="AH490" s="170"/>
      <c r="AI490" s="170"/>
      <c r="AJ490" s="170"/>
      <c r="AK490" s="170"/>
      <c r="AL490" s="170"/>
      <c r="AM490" s="170"/>
      <c r="AN490" s="170"/>
      <c r="AO490" s="170"/>
      <c r="AP490" s="170"/>
      <c r="AQ490" s="170"/>
      <c r="AR490" s="170"/>
      <c r="AS490" s="170"/>
      <c r="AT490" s="170"/>
      <c r="AU490" s="170"/>
      <c r="AV490" s="170"/>
      <c r="AW490" s="170"/>
      <c r="AX490" s="170"/>
      <c r="AY490" s="170"/>
    </row>
    <row r="491" spans="1:51" s="171" customFormat="1" ht="15">
      <c r="A491" s="170"/>
      <c r="B491" s="154"/>
      <c r="C491" s="75"/>
      <c r="D491" s="76"/>
      <c r="E491" s="76"/>
      <c r="F491" s="110"/>
      <c r="G491" s="110"/>
      <c r="H491" s="110"/>
      <c r="I491" s="75"/>
      <c r="J491" s="230"/>
      <c r="K491" s="168"/>
      <c r="L491" s="170"/>
      <c r="M491" s="170"/>
      <c r="N491" s="170"/>
      <c r="O491" s="170"/>
      <c r="P491" s="170"/>
      <c r="Q491" s="170"/>
      <c r="R491" s="170"/>
      <c r="S491" s="170"/>
      <c r="T491" s="170"/>
      <c r="U491" s="170"/>
      <c r="V491" s="170"/>
      <c r="W491" s="170"/>
      <c r="X491" s="170"/>
      <c r="Y491" s="170"/>
      <c r="Z491" s="170"/>
      <c r="AA491" s="170"/>
      <c r="AB491" s="170"/>
      <c r="AC491" s="170"/>
      <c r="AD491" s="170"/>
      <c r="AE491" s="170"/>
      <c r="AF491" s="170"/>
      <c r="AG491" s="170"/>
      <c r="AH491" s="170"/>
      <c r="AI491" s="170"/>
      <c r="AJ491" s="170"/>
      <c r="AK491" s="170"/>
      <c r="AL491" s="170"/>
      <c r="AM491" s="170"/>
      <c r="AN491" s="170"/>
      <c r="AO491" s="170"/>
      <c r="AP491" s="170"/>
      <c r="AQ491" s="170"/>
      <c r="AR491" s="170"/>
      <c r="AS491" s="170"/>
      <c r="AT491" s="170"/>
      <c r="AU491" s="170"/>
      <c r="AV491" s="170"/>
      <c r="AW491" s="170"/>
      <c r="AX491" s="170"/>
      <c r="AY491" s="170"/>
    </row>
    <row r="492" spans="1:51" s="292" customFormat="1" ht="25.5">
      <c r="A492" s="287"/>
      <c r="B492" s="380" t="s">
        <v>1273</v>
      </c>
      <c r="C492" s="387" t="s">
        <v>933</v>
      </c>
      <c r="D492" s="388" t="s">
        <v>543</v>
      </c>
      <c r="E492" s="381"/>
      <c r="F492" s="382"/>
      <c r="G492" s="382"/>
      <c r="H492" s="382"/>
      <c r="I492" s="383"/>
      <c r="J492" s="384">
        <f>SUM(J493:J496)</f>
        <v>639.4</v>
      </c>
      <c r="K492" s="291"/>
      <c r="L492" s="287"/>
      <c r="M492" s="287"/>
      <c r="N492" s="287"/>
      <c r="O492" s="287"/>
      <c r="P492" s="287"/>
      <c r="Q492" s="287"/>
      <c r="R492" s="287"/>
      <c r="S492" s="287"/>
      <c r="T492" s="287"/>
      <c r="U492" s="287"/>
      <c r="V492" s="287"/>
      <c r="W492" s="287"/>
      <c r="X492" s="287"/>
      <c r="Y492" s="287"/>
      <c r="Z492" s="287"/>
      <c r="AA492" s="287"/>
      <c r="AB492" s="287"/>
      <c r="AC492" s="287"/>
      <c r="AD492" s="287"/>
      <c r="AE492" s="287"/>
      <c r="AF492" s="287"/>
      <c r="AG492" s="287"/>
      <c r="AH492" s="287"/>
      <c r="AI492" s="287"/>
      <c r="AJ492" s="287"/>
      <c r="AK492" s="287"/>
      <c r="AL492" s="287"/>
      <c r="AM492" s="287"/>
      <c r="AN492" s="287"/>
      <c r="AO492" s="287"/>
      <c r="AP492" s="287"/>
      <c r="AQ492" s="287"/>
      <c r="AR492" s="287"/>
      <c r="AS492" s="287"/>
      <c r="AT492" s="287"/>
      <c r="AU492" s="287"/>
      <c r="AV492" s="287"/>
      <c r="AW492" s="287"/>
      <c r="AX492" s="287"/>
      <c r="AY492" s="287"/>
    </row>
    <row r="493" spans="1:51" s="171" customFormat="1" ht="15">
      <c r="A493" s="170"/>
      <c r="B493" s="154"/>
      <c r="C493" s="75"/>
      <c r="D493" s="76"/>
      <c r="E493" s="278">
        <v>2</v>
      </c>
      <c r="F493" s="365">
        <v>60.07</v>
      </c>
      <c r="G493" s="365"/>
      <c r="H493" s="365">
        <v>1.4</v>
      </c>
      <c r="I493" s="372"/>
      <c r="J493" s="367">
        <f>ROUND(F493*H493*E493,2)</f>
        <v>168.2</v>
      </c>
      <c r="K493" s="168"/>
      <c r="L493" s="170"/>
      <c r="M493" s="170"/>
      <c r="N493" s="170"/>
      <c r="O493" s="170"/>
      <c r="P493" s="170"/>
      <c r="Q493" s="170"/>
      <c r="R493" s="170"/>
      <c r="S493" s="170"/>
      <c r="T493" s="170"/>
      <c r="U493" s="170"/>
      <c r="V493" s="170"/>
      <c r="W493" s="170"/>
      <c r="X493" s="170"/>
      <c r="Y493" s="170"/>
      <c r="Z493" s="170"/>
      <c r="AA493" s="170"/>
      <c r="AB493" s="170"/>
      <c r="AC493" s="170"/>
      <c r="AD493" s="170"/>
      <c r="AE493" s="170"/>
      <c r="AF493" s="170"/>
      <c r="AG493" s="170"/>
      <c r="AH493" s="170"/>
      <c r="AI493" s="170"/>
      <c r="AJ493" s="170"/>
      <c r="AK493" s="170"/>
      <c r="AL493" s="170"/>
      <c r="AM493" s="170"/>
      <c r="AN493" s="170"/>
      <c r="AO493" s="170"/>
      <c r="AP493" s="170"/>
      <c r="AQ493" s="170"/>
      <c r="AR493" s="170"/>
      <c r="AS493" s="170"/>
      <c r="AT493" s="170"/>
      <c r="AU493" s="170"/>
      <c r="AV493" s="170"/>
      <c r="AW493" s="170"/>
      <c r="AX493" s="170"/>
      <c r="AY493" s="170"/>
    </row>
    <row r="494" spans="1:51" s="171" customFormat="1" ht="15">
      <c r="A494" s="170"/>
      <c r="B494" s="154"/>
      <c r="C494" s="75"/>
      <c r="D494" s="76"/>
      <c r="E494" s="278">
        <v>2</v>
      </c>
      <c r="F494" s="365">
        <v>24.06</v>
      </c>
      <c r="G494" s="365"/>
      <c r="H494" s="365">
        <v>1.4</v>
      </c>
      <c r="I494" s="372"/>
      <c r="J494" s="367">
        <f t="shared" ref="J494:J496" si="46">ROUND(F494*H494*E494,2)</f>
        <v>67.37</v>
      </c>
      <c r="K494" s="168"/>
      <c r="L494" s="170"/>
      <c r="M494" s="170"/>
      <c r="N494" s="170"/>
      <c r="O494" s="170"/>
      <c r="P494" s="170"/>
      <c r="Q494" s="170"/>
      <c r="R494" s="170"/>
      <c r="S494" s="170"/>
      <c r="T494" s="170"/>
      <c r="U494" s="170"/>
      <c r="V494" s="170"/>
      <c r="W494" s="170"/>
      <c r="X494" s="170"/>
      <c r="Y494" s="170"/>
      <c r="Z494" s="170"/>
      <c r="AA494" s="170"/>
      <c r="AB494" s="170"/>
      <c r="AC494" s="170"/>
      <c r="AD494" s="170"/>
      <c r="AE494" s="170"/>
      <c r="AF494" s="170"/>
      <c r="AG494" s="170"/>
      <c r="AH494" s="170"/>
      <c r="AI494" s="170"/>
      <c r="AJ494" s="170"/>
      <c r="AK494" s="170"/>
      <c r="AL494" s="170"/>
      <c r="AM494" s="170"/>
      <c r="AN494" s="170"/>
      <c r="AO494" s="170"/>
      <c r="AP494" s="170"/>
      <c r="AQ494" s="170"/>
      <c r="AR494" s="170"/>
      <c r="AS494" s="170"/>
      <c r="AT494" s="170"/>
      <c r="AU494" s="170"/>
      <c r="AV494" s="170"/>
      <c r="AW494" s="170"/>
      <c r="AX494" s="170"/>
      <c r="AY494" s="170"/>
    </row>
    <row r="495" spans="1:51" s="171" customFormat="1" ht="15">
      <c r="A495" s="170"/>
      <c r="B495" s="154"/>
      <c r="C495" s="75"/>
      <c r="D495" s="76"/>
      <c r="E495" s="278">
        <v>2</v>
      </c>
      <c r="F495" s="365">
        <v>60.07</v>
      </c>
      <c r="G495" s="365"/>
      <c r="H495" s="365">
        <v>2.4</v>
      </c>
      <c r="I495" s="372"/>
      <c r="J495" s="367">
        <f t="shared" si="46"/>
        <v>288.33999999999997</v>
      </c>
      <c r="K495" s="168"/>
      <c r="L495" s="170"/>
      <c r="M495" s="170"/>
      <c r="N495" s="170"/>
      <c r="O495" s="170"/>
      <c r="P495" s="170"/>
      <c r="Q495" s="170"/>
      <c r="R495" s="170"/>
      <c r="S495" s="170"/>
      <c r="T495" s="170"/>
      <c r="U495" s="170"/>
      <c r="V495" s="170"/>
      <c r="W495" s="170"/>
      <c r="X495" s="170"/>
      <c r="Y495" s="170"/>
      <c r="Z495" s="170"/>
      <c r="AA495" s="170"/>
      <c r="AB495" s="170"/>
      <c r="AC495" s="170"/>
      <c r="AD495" s="170"/>
      <c r="AE495" s="170"/>
      <c r="AF495" s="170"/>
      <c r="AG495" s="170"/>
      <c r="AH495" s="170"/>
      <c r="AI495" s="170"/>
      <c r="AJ495" s="170"/>
      <c r="AK495" s="170"/>
      <c r="AL495" s="170"/>
      <c r="AM495" s="170"/>
      <c r="AN495" s="170"/>
      <c r="AO495" s="170"/>
      <c r="AP495" s="170"/>
      <c r="AQ495" s="170"/>
      <c r="AR495" s="170"/>
      <c r="AS495" s="170"/>
      <c r="AT495" s="170"/>
      <c r="AU495" s="170"/>
      <c r="AV495" s="170"/>
      <c r="AW495" s="170"/>
      <c r="AX495" s="170"/>
      <c r="AY495" s="170"/>
    </row>
    <row r="496" spans="1:51" s="171" customFormat="1" ht="15">
      <c r="A496" s="170"/>
      <c r="B496" s="154"/>
      <c r="C496" s="75"/>
      <c r="D496" s="76"/>
      <c r="E496" s="278">
        <v>2</v>
      </c>
      <c r="F496" s="365">
        <v>24.06</v>
      </c>
      <c r="G496" s="365"/>
      <c r="H496" s="365">
        <v>2.4</v>
      </c>
      <c r="I496" s="372"/>
      <c r="J496" s="367">
        <f t="shared" si="46"/>
        <v>115.49</v>
      </c>
      <c r="K496" s="168"/>
      <c r="L496" s="170"/>
      <c r="M496" s="170"/>
      <c r="N496" s="170"/>
      <c r="O496" s="170"/>
      <c r="P496" s="170"/>
      <c r="Q496" s="170"/>
      <c r="R496" s="170"/>
      <c r="S496" s="170"/>
      <c r="T496" s="170"/>
      <c r="U496" s="170"/>
      <c r="V496" s="170"/>
      <c r="W496" s="170"/>
      <c r="X496" s="170"/>
      <c r="Y496" s="170"/>
      <c r="Z496" s="170"/>
      <c r="AA496" s="170"/>
      <c r="AB496" s="170"/>
      <c r="AC496" s="170"/>
      <c r="AD496" s="170"/>
      <c r="AE496" s="170"/>
      <c r="AF496" s="170"/>
      <c r="AG496" s="170"/>
      <c r="AH496" s="170"/>
      <c r="AI496" s="170"/>
      <c r="AJ496" s="170"/>
      <c r="AK496" s="170"/>
      <c r="AL496" s="170"/>
      <c r="AM496" s="170"/>
      <c r="AN496" s="170"/>
      <c r="AO496" s="170"/>
      <c r="AP496" s="170"/>
      <c r="AQ496" s="170"/>
      <c r="AR496" s="170"/>
      <c r="AS496" s="170"/>
      <c r="AT496" s="170"/>
      <c r="AU496" s="170"/>
      <c r="AV496" s="170"/>
      <c r="AW496" s="170"/>
      <c r="AX496" s="170"/>
      <c r="AY496" s="170"/>
    </row>
    <row r="497" spans="1:51" s="171" customFormat="1" ht="15">
      <c r="A497" s="170"/>
      <c r="B497" s="154"/>
      <c r="C497" s="75"/>
      <c r="D497" s="76"/>
      <c r="E497" s="76"/>
      <c r="F497" s="110"/>
      <c r="G497" s="110"/>
      <c r="H497" s="110"/>
      <c r="I497" s="75"/>
      <c r="J497" s="230"/>
      <c r="K497" s="168"/>
      <c r="L497" s="170"/>
      <c r="M497" s="170"/>
      <c r="N497" s="170"/>
      <c r="O497" s="170"/>
      <c r="P497" s="170"/>
      <c r="Q497" s="170"/>
      <c r="R497" s="170"/>
      <c r="S497" s="170"/>
      <c r="T497" s="170"/>
      <c r="U497" s="170"/>
      <c r="V497" s="170"/>
      <c r="W497" s="170"/>
      <c r="X497" s="170"/>
      <c r="Y497" s="170"/>
      <c r="Z497" s="170"/>
      <c r="AA497" s="170"/>
      <c r="AB497" s="170"/>
      <c r="AC497" s="170"/>
      <c r="AD497" s="170"/>
      <c r="AE497" s="170"/>
      <c r="AF497" s="170"/>
      <c r="AG497" s="170"/>
      <c r="AH497" s="170"/>
      <c r="AI497" s="170"/>
      <c r="AJ497" s="170"/>
      <c r="AK497" s="170"/>
      <c r="AL497" s="170"/>
      <c r="AM497" s="170"/>
      <c r="AN497" s="170"/>
      <c r="AO497" s="170"/>
      <c r="AP497" s="170"/>
      <c r="AQ497" s="170"/>
      <c r="AR497" s="170"/>
      <c r="AS497" s="170"/>
      <c r="AT497" s="170"/>
      <c r="AU497" s="170"/>
      <c r="AV497" s="170"/>
      <c r="AW497" s="170"/>
      <c r="AX497" s="170"/>
      <c r="AY497" s="170"/>
    </row>
    <row r="498" spans="1:51" s="292" customFormat="1" ht="15">
      <c r="A498" s="287"/>
      <c r="B498" s="380" t="s">
        <v>1274</v>
      </c>
      <c r="C498" s="390" t="s">
        <v>903</v>
      </c>
      <c r="D498" s="381" t="s">
        <v>1156</v>
      </c>
      <c r="E498" s="381"/>
      <c r="F498" s="382"/>
      <c r="G498" s="382"/>
      <c r="H498" s="382"/>
      <c r="I498" s="385"/>
      <c r="J498" s="384">
        <f>SUM(J499)</f>
        <v>16.624400000000001</v>
      </c>
      <c r="K498" s="291"/>
      <c r="L498" s="287"/>
      <c r="M498" s="287"/>
      <c r="N498" s="287"/>
      <c r="O498" s="287"/>
      <c r="P498" s="287"/>
      <c r="Q498" s="287"/>
      <c r="R498" s="287"/>
      <c r="S498" s="287"/>
      <c r="T498" s="287"/>
      <c r="U498" s="287"/>
      <c r="V498" s="287"/>
      <c r="W498" s="287"/>
      <c r="X498" s="287"/>
      <c r="Y498" s="287"/>
      <c r="Z498" s="287"/>
      <c r="AA498" s="287"/>
      <c r="AB498" s="287"/>
      <c r="AC498" s="287"/>
      <c r="AD498" s="287"/>
      <c r="AE498" s="287"/>
      <c r="AF498" s="287"/>
      <c r="AG498" s="287"/>
      <c r="AH498" s="287"/>
      <c r="AI498" s="287"/>
      <c r="AJ498" s="287"/>
      <c r="AK498" s="287"/>
      <c r="AL498" s="287"/>
      <c r="AM498" s="287"/>
      <c r="AN498" s="287"/>
      <c r="AO498" s="287"/>
      <c r="AP498" s="287"/>
      <c r="AQ498" s="287"/>
      <c r="AR498" s="287"/>
      <c r="AS498" s="287"/>
      <c r="AT498" s="287"/>
      <c r="AU498" s="287"/>
      <c r="AV498" s="287"/>
      <c r="AW498" s="287"/>
      <c r="AX498" s="287"/>
      <c r="AY498" s="287"/>
    </row>
    <row r="499" spans="1:51" s="171" customFormat="1" ht="15">
      <c r="A499" s="170"/>
      <c r="B499" s="154"/>
      <c r="C499" s="286" t="s">
        <v>1278</v>
      </c>
      <c r="D499" s="76"/>
      <c r="E499" s="76"/>
      <c r="F499" s="110">
        <f>J460</f>
        <v>639.4</v>
      </c>
      <c r="G499" s="110">
        <v>0.02</v>
      </c>
      <c r="H499" s="110">
        <v>1.3</v>
      </c>
      <c r="I499" s="75"/>
      <c r="J499" s="230">
        <f>F499*G499*H499</f>
        <v>16.624400000000001</v>
      </c>
      <c r="K499" s="168"/>
      <c r="L499" s="170"/>
      <c r="M499" s="170"/>
      <c r="N499" s="170"/>
      <c r="O499" s="170"/>
      <c r="P499" s="170"/>
      <c r="Q499" s="170"/>
      <c r="R499" s="170"/>
      <c r="S499" s="170"/>
      <c r="T499" s="170"/>
      <c r="U499" s="170"/>
      <c r="V499" s="170"/>
      <c r="W499" s="170"/>
      <c r="X499" s="170"/>
      <c r="Y499" s="170"/>
      <c r="Z499" s="170"/>
      <c r="AA499" s="170"/>
      <c r="AB499" s="170"/>
      <c r="AC499" s="170"/>
      <c r="AD499" s="170"/>
      <c r="AE499" s="170"/>
      <c r="AF499" s="170"/>
      <c r="AG499" s="170"/>
      <c r="AH499" s="170"/>
      <c r="AI499" s="170"/>
      <c r="AJ499" s="170"/>
      <c r="AK499" s="170"/>
      <c r="AL499" s="170"/>
      <c r="AM499" s="170"/>
      <c r="AN499" s="170"/>
      <c r="AO499" s="170"/>
      <c r="AP499" s="170"/>
      <c r="AQ499" s="170"/>
      <c r="AR499" s="170"/>
      <c r="AS499" s="170"/>
      <c r="AT499" s="170"/>
      <c r="AU499" s="170"/>
      <c r="AV499" s="170"/>
      <c r="AW499" s="170"/>
      <c r="AX499" s="170"/>
      <c r="AY499" s="170"/>
    </row>
    <row r="500" spans="1:51" s="171" customFormat="1" ht="15">
      <c r="A500" s="170"/>
      <c r="B500" s="154"/>
      <c r="C500" s="286"/>
      <c r="D500" s="76"/>
      <c r="E500" s="76"/>
      <c r="F500" s="110"/>
      <c r="G500" s="110"/>
      <c r="H500" s="110"/>
      <c r="I500" s="75"/>
      <c r="J500" s="230"/>
      <c r="K500" s="168"/>
      <c r="L500" s="170"/>
      <c r="M500" s="170"/>
      <c r="N500" s="170"/>
      <c r="O500" s="170"/>
      <c r="P500" s="170"/>
      <c r="Q500" s="170"/>
      <c r="R500" s="170"/>
      <c r="S500" s="170"/>
      <c r="T500" s="170"/>
      <c r="U500" s="170"/>
      <c r="V500" s="170"/>
      <c r="W500" s="170"/>
      <c r="X500" s="170"/>
      <c r="Y500" s="170"/>
      <c r="Z500" s="170"/>
      <c r="AA500" s="170"/>
      <c r="AB500" s="170"/>
      <c r="AC500" s="170"/>
      <c r="AD500" s="170"/>
      <c r="AE500" s="170"/>
      <c r="AF500" s="170"/>
      <c r="AG500" s="170"/>
      <c r="AH500" s="170"/>
      <c r="AI500" s="170"/>
      <c r="AJ500" s="170"/>
      <c r="AK500" s="170"/>
      <c r="AL500" s="170"/>
      <c r="AM500" s="170"/>
      <c r="AN500" s="170"/>
      <c r="AO500" s="170"/>
      <c r="AP500" s="170"/>
      <c r="AQ500" s="170"/>
      <c r="AR500" s="170"/>
      <c r="AS500" s="170"/>
      <c r="AT500" s="170"/>
      <c r="AU500" s="170"/>
      <c r="AV500" s="170"/>
      <c r="AW500" s="170"/>
      <c r="AX500" s="170"/>
      <c r="AY500" s="170"/>
    </row>
    <row r="501" spans="1:51" s="292" customFormat="1" ht="25.5">
      <c r="A501" s="287"/>
      <c r="B501" s="380" t="s">
        <v>1275</v>
      </c>
      <c r="C501" s="390" t="s">
        <v>904</v>
      </c>
      <c r="D501" s="381" t="s">
        <v>1156</v>
      </c>
      <c r="E501" s="381"/>
      <c r="F501" s="382"/>
      <c r="G501" s="382"/>
      <c r="H501" s="382"/>
      <c r="I501" s="385"/>
      <c r="J501" s="384">
        <f>SUM(J502)</f>
        <v>16.624400000000001</v>
      </c>
      <c r="K501" s="291"/>
      <c r="L501" s="287"/>
      <c r="M501" s="287"/>
      <c r="N501" s="287"/>
      <c r="O501" s="287"/>
      <c r="P501" s="287"/>
      <c r="Q501" s="287"/>
      <c r="R501" s="287"/>
      <c r="S501" s="287"/>
      <c r="T501" s="287"/>
      <c r="U501" s="287"/>
      <c r="V501" s="287"/>
      <c r="W501" s="287"/>
      <c r="X501" s="287"/>
      <c r="Y501" s="287"/>
      <c r="Z501" s="287"/>
      <c r="AA501" s="287"/>
      <c r="AB501" s="287"/>
      <c r="AC501" s="287"/>
      <c r="AD501" s="287"/>
      <c r="AE501" s="287"/>
      <c r="AF501" s="287"/>
      <c r="AG501" s="287"/>
      <c r="AH501" s="287"/>
      <c r="AI501" s="287"/>
      <c r="AJ501" s="287"/>
      <c r="AK501" s="287"/>
      <c r="AL501" s="287"/>
      <c r="AM501" s="287"/>
      <c r="AN501" s="287"/>
      <c r="AO501" s="287"/>
      <c r="AP501" s="287"/>
      <c r="AQ501" s="287"/>
      <c r="AR501" s="287"/>
      <c r="AS501" s="287"/>
      <c r="AT501" s="287"/>
      <c r="AU501" s="287"/>
      <c r="AV501" s="287"/>
      <c r="AW501" s="287"/>
      <c r="AX501" s="287"/>
      <c r="AY501" s="287"/>
    </row>
    <row r="502" spans="1:51" s="171" customFormat="1" ht="15">
      <c r="A502" s="170"/>
      <c r="B502" s="154"/>
      <c r="C502" s="286" t="s">
        <v>1278</v>
      </c>
      <c r="D502" s="76"/>
      <c r="E502" s="76"/>
      <c r="F502" s="110">
        <f>J460</f>
        <v>639.4</v>
      </c>
      <c r="G502" s="110">
        <v>0.02</v>
      </c>
      <c r="H502" s="110">
        <v>1.3</v>
      </c>
      <c r="I502" s="75"/>
      <c r="J502" s="230">
        <f>F502*G502*H502</f>
        <v>16.624400000000001</v>
      </c>
      <c r="K502" s="168"/>
      <c r="L502" s="170"/>
      <c r="M502" s="170"/>
      <c r="N502" s="170"/>
      <c r="O502" s="170"/>
      <c r="P502" s="170"/>
      <c r="Q502" s="170"/>
      <c r="R502" s="170"/>
      <c r="S502" s="170"/>
      <c r="T502" s="170"/>
      <c r="U502" s="170"/>
      <c r="V502" s="170"/>
      <c r="W502" s="170"/>
      <c r="X502" s="170"/>
      <c r="Y502" s="170"/>
      <c r="Z502" s="170"/>
      <c r="AA502" s="170"/>
      <c r="AB502" s="170"/>
      <c r="AC502" s="170"/>
      <c r="AD502" s="170"/>
      <c r="AE502" s="170"/>
      <c r="AF502" s="170"/>
      <c r="AG502" s="170"/>
      <c r="AH502" s="170"/>
      <c r="AI502" s="170"/>
      <c r="AJ502" s="170"/>
      <c r="AK502" s="170"/>
      <c r="AL502" s="170"/>
      <c r="AM502" s="170"/>
      <c r="AN502" s="170"/>
      <c r="AO502" s="170"/>
      <c r="AP502" s="170"/>
      <c r="AQ502" s="170"/>
      <c r="AR502" s="170"/>
      <c r="AS502" s="170"/>
      <c r="AT502" s="170"/>
      <c r="AU502" s="170"/>
      <c r="AV502" s="170"/>
      <c r="AW502" s="170"/>
      <c r="AX502" s="170"/>
      <c r="AY502" s="170"/>
    </row>
    <row r="503" spans="1:51" ht="15.75" thickBot="1">
      <c r="B503" s="155"/>
      <c r="C503" s="156"/>
      <c r="D503" s="156"/>
      <c r="E503" s="156"/>
      <c r="F503" s="157"/>
      <c r="G503" s="157"/>
      <c r="H503" s="157"/>
      <c r="I503" s="156"/>
      <c r="J503" s="158"/>
    </row>
    <row r="504" spans="1:51">
      <c r="B504" s="170"/>
      <c r="C504" s="170"/>
      <c r="D504" s="170"/>
      <c r="E504" s="170"/>
      <c r="F504" s="102"/>
      <c r="G504" s="102"/>
      <c r="H504" s="102"/>
      <c r="I504" s="170"/>
      <c r="J504" s="111"/>
    </row>
    <row r="505" spans="1:51">
      <c r="B505" s="170"/>
      <c r="C505" s="170"/>
      <c r="D505" s="170"/>
      <c r="E505" s="170"/>
      <c r="F505" s="102"/>
      <c r="G505" s="102"/>
      <c r="H505" s="102"/>
      <c r="I505" s="170"/>
      <c r="J505" s="111"/>
    </row>
    <row r="506" spans="1:51">
      <c r="B506" s="170"/>
      <c r="C506" s="170"/>
      <c r="D506" s="170"/>
      <c r="E506" s="170"/>
      <c r="F506" s="102"/>
      <c r="G506" s="102"/>
      <c r="H506" s="102"/>
      <c r="I506" s="170"/>
      <c r="J506" s="111"/>
    </row>
    <row r="507" spans="1:51">
      <c r="B507" s="170"/>
      <c r="C507" s="170"/>
      <c r="D507" s="170"/>
      <c r="E507" s="170"/>
      <c r="F507" s="102"/>
      <c r="G507" s="102"/>
      <c r="H507" s="102"/>
      <c r="I507" s="170"/>
      <c r="J507" s="111"/>
    </row>
    <row r="508" spans="1:51">
      <c r="B508" s="170"/>
      <c r="C508" s="170"/>
      <c r="D508" s="170"/>
      <c r="E508" s="170"/>
      <c r="F508" s="102"/>
      <c r="G508" s="102"/>
      <c r="H508" s="102"/>
      <c r="I508" s="170"/>
      <c r="J508" s="111"/>
    </row>
    <row r="509" spans="1:51">
      <c r="B509" s="170"/>
      <c r="C509" s="170"/>
      <c r="D509" s="170"/>
      <c r="E509" s="170"/>
      <c r="F509" s="102"/>
      <c r="G509" s="102"/>
      <c r="H509" s="102"/>
      <c r="I509" s="170"/>
      <c r="J509" s="111"/>
    </row>
    <row r="510" spans="1:51">
      <c r="B510" s="170"/>
      <c r="C510" s="170"/>
      <c r="D510" s="170"/>
      <c r="E510" s="170"/>
      <c r="F510" s="102"/>
      <c r="G510" s="102"/>
      <c r="H510" s="102"/>
      <c r="I510" s="170"/>
      <c r="J510" s="111"/>
    </row>
    <row r="511" spans="1:51">
      <c r="B511" s="170"/>
      <c r="C511" s="170"/>
      <c r="D511" s="170"/>
      <c r="E511" s="170"/>
      <c r="F511" s="102"/>
      <c r="G511" s="102"/>
      <c r="H511" s="102"/>
      <c r="I511" s="170"/>
      <c r="J511" s="111"/>
    </row>
    <row r="512" spans="1:51">
      <c r="B512" s="170"/>
      <c r="C512" s="170"/>
      <c r="D512" s="170"/>
      <c r="E512" s="170"/>
      <c r="F512" s="102"/>
      <c r="G512" s="102"/>
      <c r="H512" s="102"/>
      <c r="I512" s="170"/>
      <c r="J512" s="111"/>
    </row>
    <row r="513" spans="2:10">
      <c r="B513" s="170"/>
      <c r="C513" s="170"/>
      <c r="D513" s="170"/>
      <c r="E513" s="170"/>
      <c r="F513" s="102"/>
      <c r="G513" s="102"/>
      <c r="H513" s="102"/>
      <c r="I513" s="170"/>
      <c r="J513" s="111"/>
    </row>
    <row r="514" spans="2:10">
      <c r="B514" s="170"/>
      <c r="C514" s="170"/>
      <c r="D514" s="170"/>
      <c r="E514" s="170"/>
      <c r="F514" s="102"/>
      <c r="G514" s="102"/>
      <c r="H514" s="102"/>
      <c r="I514" s="170"/>
      <c r="J514" s="111"/>
    </row>
    <row r="515" spans="2:10">
      <c r="B515" s="170"/>
      <c r="C515" s="170"/>
      <c r="D515" s="170"/>
      <c r="E515" s="170"/>
      <c r="F515" s="102"/>
      <c r="G515" s="102"/>
      <c r="H515" s="102"/>
      <c r="I515" s="170"/>
      <c r="J515" s="111"/>
    </row>
    <row r="516" spans="2:10">
      <c r="B516" s="170"/>
      <c r="C516" s="170"/>
      <c r="D516" s="170"/>
      <c r="E516" s="170"/>
      <c r="F516" s="102"/>
      <c r="G516" s="102"/>
      <c r="H516" s="102"/>
      <c r="I516" s="170"/>
      <c r="J516" s="111"/>
    </row>
    <row r="517" spans="2:10">
      <c r="B517" s="170"/>
      <c r="C517" s="170"/>
      <c r="D517" s="170"/>
      <c r="E517" s="170"/>
      <c r="F517" s="102"/>
      <c r="G517" s="102"/>
      <c r="H517" s="102"/>
      <c r="I517" s="170"/>
      <c r="J517" s="111"/>
    </row>
    <row r="518" spans="2:10">
      <c r="B518" s="170"/>
      <c r="C518" s="170"/>
      <c r="D518" s="170"/>
      <c r="E518" s="170"/>
      <c r="F518" s="102"/>
      <c r="G518" s="102"/>
      <c r="H518" s="102"/>
      <c r="I518" s="170"/>
      <c r="J518" s="111"/>
    </row>
    <row r="519" spans="2:10">
      <c r="B519" s="170"/>
      <c r="C519" s="170"/>
      <c r="D519" s="170"/>
      <c r="E519" s="170"/>
      <c r="F519" s="102"/>
      <c r="G519" s="102"/>
      <c r="H519" s="102"/>
      <c r="I519" s="170"/>
      <c r="J519" s="111"/>
    </row>
    <row r="520" spans="2:10">
      <c r="B520" s="170"/>
      <c r="C520" s="170"/>
      <c r="D520" s="170"/>
      <c r="E520" s="170"/>
      <c r="F520" s="102"/>
      <c r="G520" s="102"/>
      <c r="H520" s="102"/>
      <c r="I520" s="170"/>
      <c r="J520" s="111"/>
    </row>
    <row r="521" spans="2:10">
      <c r="B521" s="170"/>
      <c r="C521" s="170"/>
      <c r="D521" s="170"/>
      <c r="E521" s="170"/>
      <c r="F521" s="102"/>
      <c r="G521" s="102"/>
      <c r="H521" s="102"/>
      <c r="I521" s="170"/>
      <c r="J521" s="111"/>
    </row>
    <row r="522" spans="2:10">
      <c r="B522" s="170"/>
      <c r="C522" s="170"/>
      <c r="D522" s="170"/>
      <c r="E522" s="170"/>
      <c r="F522" s="102"/>
      <c r="G522" s="102"/>
      <c r="H522" s="102"/>
      <c r="I522" s="170"/>
      <c r="J522" s="111"/>
    </row>
    <row r="523" spans="2:10">
      <c r="B523" s="170"/>
      <c r="C523" s="170"/>
      <c r="D523" s="170"/>
      <c r="E523" s="170"/>
      <c r="F523" s="102"/>
      <c r="G523" s="102"/>
      <c r="H523" s="102"/>
      <c r="I523" s="170"/>
      <c r="J523" s="111"/>
    </row>
    <row r="524" spans="2:10">
      <c r="B524" s="170"/>
      <c r="C524" s="170"/>
      <c r="D524" s="170"/>
      <c r="E524" s="170"/>
      <c r="F524" s="102"/>
      <c r="G524" s="102"/>
      <c r="H524" s="102"/>
      <c r="I524" s="170"/>
      <c r="J524" s="111"/>
    </row>
    <row r="525" spans="2:10">
      <c r="B525" s="170"/>
      <c r="C525" s="170"/>
      <c r="D525" s="170"/>
      <c r="E525" s="170"/>
      <c r="F525" s="102"/>
      <c r="G525" s="102"/>
      <c r="H525" s="102"/>
      <c r="I525" s="170"/>
      <c r="J525" s="111"/>
    </row>
    <row r="526" spans="2:10">
      <c r="B526" s="170"/>
      <c r="C526" s="170"/>
      <c r="D526" s="170"/>
      <c r="E526" s="170"/>
      <c r="F526" s="102"/>
      <c r="G526" s="102"/>
      <c r="H526" s="102"/>
      <c r="I526" s="170"/>
      <c r="J526" s="111"/>
    </row>
    <row r="527" spans="2:10">
      <c r="B527" s="170"/>
      <c r="C527" s="170"/>
      <c r="D527" s="170"/>
      <c r="E527" s="170"/>
      <c r="F527" s="102"/>
      <c r="G527" s="102"/>
      <c r="H527" s="102"/>
      <c r="I527" s="170"/>
      <c r="J527" s="111"/>
    </row>
    <row r="528" spans="2:10">
      <c r="B528" s="170"/>
      <c r="C528" s="170"/>
      <c r="D528" s="170"/>
      <c r="E528" s="170"/>
      <c r="F528" s="102"/>
      <c r="G528" s="102"/>
      <c r="H528" s="102"/>
      <c r="I528" s="170"/>
      <c r="J528" s="111"/>
    </row>
    <row r="529" spans="2:10">
      <c r="B529" s="170"/>
      <c r="C529" s="170"/>
      <c r="D529" s="170"/>
      <c r="E529" s="170"/>
      <c r="F529" s="102"/>
      <c r="G529" s="102"/>
      <c r="H529" s="102"/>
      <c r="I529" s="170"/>
      <c r="J529" s="111"/>
    </row>
    <row r="530" spans="2:10">
      <c r="B530" s="170"/>
      <c r="C530" s="170"/>
      <c r="D530" s="170"/>
      <c r="E530" s="170"/>
      <c r="F530" s="102"/>
      <c r="G530" s="102"/>
      <c r="H530" s="102"/>
      <c r="I530" s="170"/>
      <c r="J530" s="111"/>
    </row>
    <row r="531" spans="2:10">
      <c r="B531" s="170"/>
      <c r="C531" s="170"/>
      <c r="D531" s="170"/>
      <c r="E531" s="170"/>
      <c r="F531" s="102"/>
      <c r="G531" s="102"/>
      <c r="H531" s="102"/>
      <c r="I531" s="170"/>
      <c r="J531" s="111"/>
    </row>
    <row r="532" spans="2:10">
      <c r="B532" s="170"/>
      <c r="C532" s="170"/>
      <c r="D532" s="170"/>
      <c r="E532" s="170"/>
      <c r="F532" s="102"/>
      <c r="G532" s="102"/>
      <c r="H532" s="102"/>
      <c r="I532" s="170"/>
      <c r="J532" s="111"/>
    </row>
    <row r="533" spans="2:10">
      <c r="B533" s="170"/>
      <c r="C533" s="170"/>
      <c r="D533" s="170"/>
      <c r="E533" s="170"/>
      <c r="F533" s="102"/>
      <c r="G533" s="102"/>
      <c r="H533" s="102"/>
      <c r="I533" s="170"/>
      <c r="J533" s="111"/>
    </row>
    <row r="534" spans="2:10">
      <c r="B534" s="170"/>
      <c r="C534" s="170"/>
      <c r="D534" s="170"/>
      <c r="E534" s="170"/>
      <c r="F534" s="102"/>
      <c r="G534" s="102"/>
      <c r="H534" s="102"/>
      <c r="I534" s="170"/>
      <c r="J534" s="111"/>
    </row>
    <row r="535" spans="2:10">
      <c r="B535" s="170"/>
      <c r="C535" s="170"/>
      <c r="D535" s="170"/>
      <c r="E535" s="170"/>
      <c r="F535" s="102"/>
      <c r="G535" s="102"/>
      <c r="H535" s="102"/>
      <c r="I535" s="170"/>
      <c r="J535" s="111"/>
    </row>
    <row r="536" spans="2:10">
      <c r="B536" s="170"/>
      <c r="C536" s="170"/>
      <c r="D536" s="170"/>
      <c r="E536" s="170"/>
      <c r="F536" s="102"/>
      <c r="G536" s="102"/>
      <c r="H536" s="102"/>
      <c r="I536" s="170"/>
      <c r="J536" s="111"/>
    </row>
    <row r="537" spans="2:10">
      <c r="B537" s="170"/>
      <c r="C537" s="170"/>
      <c r="D537" s="170"/>
      <c r="E537" s="170"/>
      <c r="F537" s="102"/>
      <c r="G537" s="102"/>
      <c r="H537" s="102"/>
      <c r="I537" s="170"/>
      <c r="J537" s="111"/>
    </row>
    <row r="538" spans="2:10">
      <c r="B538" s="170"/>
      <c r="C538" s="170"/>
      <c r="D538" s="170"/>
      <c r="E538" s="170"/>
      <c r="F538" s="102"/>
      <c r="G538" s="102"/>
      <c r="H538" s="102"/>
      <c r="I538" s="170"/>
      <c r="J538" s="111"/>
    </row>
    <row r="539" spans="2:10">
      <c r="B539" s="170"/>
      <c r="C539" s="170"/>
      <c r="D539" s="170"/>
      <c r="E539" s="170"/>
      <c r="F539" s="102"/>
      <c r="G539" s="102"/>
      <c r="H539" s="102"/>
      <c r="I539" s="170"/>
      <c r="J539" s="111"/>
    </row>
    <row r="540" spans="2:10">
      <c r="B540" s="170"/>
      <c r="C540" s="170"/>
      <c r="D540" s="170"/>
      <c r="E540" s="170"/>
      <c r="F540" s="102"/>
      <c r="G540" s="102"/>
      <c r="H540" s="102"/>
      <c r="I540" s="170"/>
      <c r="J540" s="111"/>
    </row>
    <row r="541" spans="2:10">
      <c r="B541" s="170"/>
      <c r="C541" s="170"/>
      <c r="D541" s="170"/>
      <c r="E541" s="170"/>
      <c r="F541" s="102"/>
      <c r="G541" s="102"/>
      <c r="H541" s="102"/>
      <c r="I541" s="170"/>
      <c r="J541" s="111"/>
    </row>
    <row r="542" spans="2:10">
      <c r="B542" s="170"/>
      <c r="C542" s="170"/>
      <c r="D542" s="170"/>
      <c r="E542" s="170"/>
      <c r="F542" s="102"/>
      <c r="G542" s="102"/>
      <c r="H542" s="102"/>
      <c r="I542" s="170"/>
      <c r="J542" s="111"/>
    </row>
    <row r="543" spans="2:10">
      <c r="B543" s="170"/>
      <c r="C543" s="170"/>
      <c r="D543" s="170"/>
      <c r="E543" s="170"/>
      <c r="F543" s="102"/>
      <c r="G543" s="102"/>
      <c r="H543" s="102"/>
      <c r="I543" s="170"/>
      <c r="J543" s="111"/>
    </row>
    <row r="544" spans="2:10">
      <c r="B544" s="170"/>
      <c r="C544" s="170"/>
      <c r="D544" s="170"/>
      <c r="E544" s="170"/>
      <c r="F544" s="102"/>
      <c r="G544" s="102"/>
      <c r="H544" s="102"/>
      <c r="I544" s="170"/>
      <c r="J544" s="111"/>
    </row>
    <row r="545" spans="2:10">
      <c r="B545" s="170"/>
      <c r="C545" s="170"/>
      <c r="D545" s="170"/>
      <c r="E545" s="170"/>
      <c r="F545" s="102"/>
      <c r="G545" s="102"/>
      <c r="H545" s="102"/>
      <c r="I545" s="170"/>
      <c r="J545" s="111"/>
    </row>
    <row r="546" spans="2:10">
      <c r="B546" s="170"/>
      <c r="C546" s="170"/>
      <c r="D546" s="170"/>
      <c r="E546" s="170"/>
      <c r="F546" s="102"/>
      <c r="G546" s="102"/>
      <c r="H546" s="102"/>
      <c r="I546" s="170"/>
      <c r="J546" s="111"/>
    </row>
    <row r="547" spans="2:10">
      <c r="B547" s="170"/>
      <c r="C547" s="170"/>
      <c r="D547" s="170"/>
      <c r="E547" s="170"/>
      <c r="F547" s="102"/>
      <c r="G547" s="102"/>
      <c r="H547" s="102"/>
      <c r="I547" s="170"/>
      <c r="J547" s="111"/>
    </row>
    <row r="548" spans="2:10">
      <c r="B548" s="170"/>
      <c r="C548" s="170"/>
      <c r="D548" s="170"/>
      <c r="E548" s="170"/>
      <c r="F548" s="102"/>
      <c r="G548" s="102"/>
      <c r="H548" s="102"/>
      <c r="I548" s="170"/>
      <c r="J548" s="111"/>
    </row>
    <row r="549" spans="2:10">
      <c r="B549" s="170"/>
      <c r="C549" s="170"/>
      <c r="D549" s="170"/>
      <c r="E549" s="170"/>
      <c r="F549" s="102"/>
      <c r="G549" s="102"/>
      <c r="H549" s="102"/>
      <c r="I549" s="170"/>
      <c r="J549" s="111"/>
    </row>
    <row r="550" spans="2:10">
      <c r="B550" s="170"/>
      <c r="C550" s="170"/>
      <c r="D550" s="170"/>
      <c r="E550" s="170"/>
      <c r="F550" s="102"/>
      <c r="G550" s="102"/>
      <c r="H550" s="102"/>
      <c r="I550" s="170"/>
      <c r="J550" s="111"/>
    </row>
    <row r="551" spans="2:10">
      <c r="B551" s="170"/>
      <c r="C551" s="170"/>
      <c r="D551" s="170"/>
      <c r="E551" s="170"/>
      <c r="F551" s="102"/>
      <c r="G551" s="102"/>
      <c r="H551" s="102"/>
      <c r="I551" s="170"/>
      <c r="J551" s="111"/>
    </row>
    <row r="552" spans="2:10">
      <c r="B552" s="170"/>
      <c r="C552" s="170"/>
      <c r="D552" s="170"/>
      <c r="E552" s="170"/>
      <c r="F552" s="102"/>
      <c r="G552" s="102"/>
      <c r="H552" s="102"/>
      <c r="I552" s="170"/>
      <c r="J552" s="111"/>
    </row>
    <row r="553" spans="2:10">
      <c r="B553" s="170"/>
      <c r="C553" s="170"/>
      <c r="D553" s="170"/>
      <c r="E553" s="170"/>
      <c r="F553" s="102"/>
      <c r="G553" s="102"/>
      <c r="H553" s="102"/>
      <c r="I553" s="170"/>
      <c r="J553" s="111"/>
    </row>
    <row r="554" spans="2:10">
      <c r="B554" s="170"/>
      <c r="C554" s="170"/>
      <c r="D554" s="170"/>
      <c r="E554" s="170"/>
      <c r="F554" s="102"/>
      <c r="G554" s="102"/>
      <c r="H554" s="102"/>
      <c r="I554" s="170"/>
      <c r="J554" s="111"/>
    </row>
    <row r="555" spans="2:10">
      <c r="B555" s="170"/>
      <c r="C555" s="170"/>
      <c r="D555" s="170"/>
      <c r="E555" s="170"/>
      <c r="F555" s="102"/>
      <c r="G555" s="102"/>
      <c r="H555" s="102"/>
      <c r="I555" s="170"/>
      <c r="J555" s="111"/>
    </row>
    <row r="556" spans="2:10">
      <c r="B556" s="170"/>
      <c r="C556" s="170"/>
      <c r="D556" s="170"/>
      <c r="E556" s="170"/>
      <c r="F556" s="102"/>
      <c r="G556" s="102"/>
      <c r="H556" s="102"/>
      <c r="I556" s="170"/>
      <c r="J556" s="111"/>
    </row>
    <row r="557" spans="2:10">
      <c r="B557" s="170"/>
      <c r="C557" s="170"/>
      <c r="D557" s="170"/>
      <c r="E557" s="170"/>
      <c r="F557" s="102"/>
      <c r="G557" s="102"/>
      <c r="H557" s="102"/>
      <c r="I557" s="170"/>
      <c r="J557" s="111"/>
    </row>
    <row r="558" spans="2:10">
      <c r="B558" s="170"/>
      <c r="C558" s="170"/>
      <c r="D558" s="170"/>
      <c r="E558" s="170"/>
      <c r="F558" s="102"/>
      <c r="G558" s="102"/>
      <c r="H558" s="102"/>
      <c r="I558" s="170"/>
      <c r="J558" s="111"/>
    </row>
    <row r="559" spans="2:10">
      <c r="B559" s="170"/>
      <c r="C559" s="170"/>
      <c r="D559" s="170"/>
      <c r="E559" s="170"/>
      <c r="F559" s="102"/>
      <c r="G559" s="102"/>
      <c r="H559" s="102"/>
      <c r="I559" s="170"/>
      <c r="J559" s="111"/>
    </row>
    <row r="560" spans="2:10">
      <c r="B560" s="170"/>
      <c r="C560" s="170"/>
      <c r="D560" s="170"/>
      <c r="E560" s="170"/>
      <c r="F560" s="102"/>
      <c r="G560" s="102"/>
      <c r="H560" s="102"/>
      <c r="I560" s="170"/>
      <c r="J560" s="111"/>
    </row>
    <row r="561" spans="2:10">
      <c r="B561" s="170"/>
      <c r="C561" s="170"/>
      <c r="D561" s="170"/>
      <c r="E561" s="170"/>
      <c r="F561" s="102"/>
      <c r="G561" s="102"/>
      <c r="H561" s="102"/>
      <c r="I561" s="170"/>
      <c r="J561" s="111"/>
    </row>
    <row r="562" spans="2:10">
      <c r="B562" s="170"/>
      <c r="C562" s="170"/>
      <c r="D562" s="170"/>
      <c r="E562" s="170"/>
      <c r="F562" s="102"/>
      <c r="G562" s="102"/>
      <c r="H562" s="102"/>
      <c r="I562" s="170"/>
      <c r="J562" s="111"/>
    </row>
    <row r="563" spans="2:10">
      <c r="B563" s="170"/>
      <c r="C563" s="170"/>
      <c r="D563" s="170"/>
      <c r="E563" s="170"/>
      <c r="F563" s="102"/>
      <c r="G563" s="102"/>
      <c r="H563" s="102"/>
      <c r="I563" s="170"/>
      <c r="J563" s="111"/>
    </row>
    <row r="564" spans="2:10">
      <c r="B564" s="170"/>
      <c r="C564" s="170"/>
      <c r="D564" s="170"/>
      <c r="E564" s="170"/>
      <c r="F564" s="102"/>
      <c r="G564" s="102"/>
      <c r="H564" s="102"/>
      <c r="I564" s="170"/>
      <c r="J564" s="111"/>
    </row>
    <row r="565" spans="2:10">
      <c r="B565" s="170"/>
      <c r="C565" s="170"/>
      <c r="D565" s="170"/>
      <c r="E565" s="170"/>
      <c r="F565" s="102"/>
      <c r="G565" s="102"/>
      <c r="H565" s="102"/>
      <c r="I565" s="170"/>
      <c r="J565" s="111"/>
    </row>
    <row r="566" spans="2:10">
      <c r="B566" s="170"/>
      <c r="C566" s="170"/>
      <c r="D566" s="170"/>
      <c r="E566" s="170"/>
      <c r="F566" s="102"/>
      <c r="G566" s="102"/>
      <c r="H566" s="102"/>
      <c r="I566" s="170"/>
      <c r="J566" s="111"/>
    </row>
    <row r="567" spans="2:10">
      <c r="B567" s="170"/>
      <c r="C567" s="170"/>
      <c r="D567" s="170"/>
      <c r="E567" s="170"/>
      <c r="F567" s="102"/>
      <c r="G567" s="102"/>
      <c r="H567" s="102"/>
      <c r="I567" s="170"/>
      <c r="J567" s="111"/>
    </row>
    <row r="568" spans="2:10">
      <c r="B568" s="170"/>
      <c r="C568" s="170"/>
      <c r="D568" s="170"/>
      <c r="E568" s="170"/>
      <c r="F568" s="102"/>
      <c r="G568" s="102"/>
      <c r="H568" s="102"/>
      <c r="I568" s="170"/>
      <c r="J568" s="111"/>
    </row>
    <row r="569" spans="2:10">
      <c r="B569" s="170"/>
      <c r="C569" s="170"/>
      <c r="D569" s="170"/>
      <c r="E569" s="170"/>
      <c r="F569" s="102"/>
      <c r="G569" s="102"/>
      <c r="H569" s="102"/>
      <c r="I569" s="170"/>
      <c r="J569" s="111"/>
    </row>
    <row r="570" spans="2:10">
      <c r="B570" s="170"/>
      <c r="C570" s="170"/>
      <c r="D570" s="170"/>
      <c r="E570" s="170"/>
      <c r="F570" s="102"/>
      <c r="G570" s="102"/>
      <c r="H570" s="102"/>
      <c r="I570" s="170"/>
      <c r="J570" s="111"/>
    </row>
    <row r="571" spans="2:10">
      <c r="B571" s="170"/>
      <c r="C571" s="170"/>
      <c r="D571" s="170"/>
      <c r="E571" s="170"/>
      <c r="F571" s="102"/>
      <c r="G571" s="102"/>
      <c r="H571" s="102"/>
      <c r="I571" s="170"/>
      <c r="J571" s="111"/>
    </row>
    <row r="572" spans="2:10">
      <c r="B572" s="170"/>
      <c r="C572" s="170"/>
      <c r="D572" s="170"/>
      <c r="E572" s="170"/>
      <c r="F572" s="102"/>
      <c r="G572" s="102"/>
      <c r="H572" s="102"/>
      <c r="I572" s="170"/>
      <c r="J572" s="111"/>
    </row>
    <row r="573" spans="2:10">
      <c r="B573" s="170"/>
      <c r="C573" s="170"/>
      <c r="D573" s="170"/>
      <c r="E573" s="170"/>
      <c r="F573" s="102"/>
      <c r="G573" s="102"/>
      <c r="H573" s="102"/>
      <c r="I573" s="170"/>
      <c r="J573" s="111"/>
    </row>
    <row r="574" spans="2:10">
      <c r="B574" s="170"/>
      <c r="C574" s="170"/>
      <c r="D574" s="170"/>
      <c r="E574" s="170"/>
      <c r="F574" s="102"/>
      <c r="G574" s="102"/>
      <c r="H574" s="102"/>
      <c r="I574" s="170"/>
      <c r="J574" s="111"/>
    </row>
    <row r="575" spans="2:10">
      <c r="B575" s="170"/>
      <c r="C575" s="170"/>
      <c r="D575" s="170"/>
      <c r="E575" s="170"/>
      <c r="F575" s="102"/>
      <c r="G575" s="102"/>
      <c r="H575" s="102"/>
      <c r="I575" s="170"/>
      <c r="J575" s="111"/>
    </row>
    <row r="576" spans="2:10">
      <c r="B576" s="170"/>
      <c r="C576" s="170"/>
      <c r="D576" s="170"/>
      <c r="E576" s="170"/>
      <c r="F576" s="102"/>
      <c r="G576" s="102"/>
      <c r="H576" s="102"/>
      <c r="I576" s="170"/>
      <c r="J576" s="111"/>
    </row>
    <row r="577" spans="2:10">
      <c r="B577" s="170"/>
      <c r="C577" s="170"/>
      <c r="D577" s="170"/>
      <c r="E577" s="170"/>
      <c r="F577" s="102"/>
      <c r="G577" s="102"/>
      <c r="H577" s="102"/>
      <c r="I577" s="170"/>
      <c r="J577" s="111"/>
    </row>
    <row r="578" spans="2:10">
      <c r="B578" s="170"/>
      <c r="C578" s="170"/>
      <c r="D578" s="170"/>
      <c r="E578" s="170"/>
      <c r="F578" s="102"/>
      <c r="G578" s="102"/>
      <c r="H578" s="102"/>
      <c r="I578" s="170"/>
      <c r="J578" s="111"/>
    </row>
    <row r="579" spans="2:10">
      <c r="B579" s="170"/>
      <c r="C579" s="170"/>
      <c r="D579" s="170"/>
      <c r="E579" s="170"/>
      <c r="F579" s="102"/>
      <c r="G579" s="102"/>
      <c r="H579" s="102"/>
      <c r="I579" s="170"/>
      <c r="J579" s="111"/>
    </row>
    <row r="580" spans="2:10">
      <c r="B580" s="170"/>
      <c r="C580" s="170"/>
      <c r="D580" s="170"/>
      <c r="E580" s="170"/>
      <c r="F580" s="102"/>
      <c r="G580" s="102"/>
      <c r="H580" s="102"/>
      <c r="I580" s="170"/>
      <c r="J580" s="111"/>
    </row>
    <row r="581" spans="2:10">
      <c r="B581" s="170"/>
      <c r="C581" s="170"/>
      <c r="D581" s="170"/>
      <c r="E581" s="170"/>
      <c r="F581" s="102"/>
      <c r="G581" s="102"/>
      <c r="H581" s="102"/>
      <c r="I581" s="170"/>
      <c r="J581" s="111"/>
    </row>
    <row r="582" spans="2:10">
      <c r="B582" s="170"/>
      <c r="C582" s="170"/>
      <c r="D582" s="170"/>
      <c r="E582" s="170"/>
      <c r="F582" s="102"/>
      <c r="G582" s="102"/>
      <c r="H582" s="102"/>
      <c r="I582" s="170"/>
      <c r="J582" s="111"/>
    </row>
    <row r="583" spans="2:10">
      <c r="B583" s="170"/>
      <c r="C583" s="170"/>
      <c r="D583" s="170"/>
      <c r="E583" s="170"/>
      <c r="F583" s="102"/>
      <c r="G583" s="102"/>
      <c r="H583" s="102"/>
      <c r="I583" s="170"/>
      <c r="J583" s="111"/>
    </row>
    <row r="584" spans="2:10">
      <c r="B584" s="170"/>
      <c r="C584" s="170"/>
      <c r="D584" s="170"/>
      <c r="E584" s="170"/>
      <c r="F584" s="102"/>
      <c r="G584" s="102"/>
      <c r="H584" s="102"/>
      <c r="I584" s="170"/>
      <c r="J584" s="111"/>
    </row>
    <row r="585" spans="2:10">
      <c r="B585" s="170"/>
      <c r="C585" s="170"/>
      <c r="D585" s="170"/>
      <c r="E585" s="170"/>
      <c r="F585" s="102"/>
      <c r="G585" s="102"/>
      <c r="H585" s="102"/>
      <c r="I585" s="170"/>
      <c r="J585" s="111"/>
    </row>
    <row r="586" spans="2:10">
      <c r="B586" s="170"/>
      <c r="C586" s="170"/>
      <c r="D586" s="170"/>
      <c r="E586" s="170"/>
      <c r="F586" s="102"/>
      <c r="G586" s="102"/>
      <c r="H586" s="102"/>
      <c r="I586" s="170"/>
      <c r="J586" s="111"/>
    </row>
    <row r="587" spans="2:10">
      <c r="B587" s="170"/>
      <c r="C587" s="170"/>
      <c r="D587" s="170"/>
      <c r="E587" s="170"/>
      <c r="F587" s="102"/>
      <c r="G587" s="102"/>
      <c r="H587" s="102"/>
      <c r="I587" s="170"/>
      <c r="J587" s="111"/>
    </row>
    <row r="588" spans="2:10">
      <c r="B588" s="170"/>
      <c r="C588" s="170"/>
      <c r="D588" s="170"/>
      <c r="E588" s="170"/>
      <c r="F588" s="102"/>
      <c r="G588" s="102"/>
      <c r="H588" s="102"/>
      <c r="I588" s="170"/>
      <c r="J588" s="111"/>
    </row>
    <row r="589" spans="2:10">
      <c r="B589" s="170"/>
      <c r="C589" s="170"/>
      <c r="D589" s="170"/>
      <c r="E589" s="170"/>
      <c r="F589" s="102"/>
      <c r="G589" s="102"/>
      <c r="H589" s="102"/>
      <c r="I589" s="170"/>
      <c r="J589" s="111"/>
    </row>
    <row r="590" spans="2:10">
      <c r="B590" s="170"/>
      <c r="C590" s="170"/>
      <c r="D590" s="170"/>
      <c r="E590" s="170"/>
      <c r="F590" s="102"/>
      <c r="G590" s="102"/>
      <c r="H590" s="102"/>
      <c r="I590" s="170"/>
      <c r="J590" s="111"/>
    </row>
    <row r="591" spans="2:10">
      <c r="B591" s="170"/>
      <c r="C591" s="170"/>
      <c r="D591" s="170"/>
      <c r="E591" s="170"/>
      <c r="F591" s="102"/>
      <c r="G591" s="102"/>
      <c r="H591" s="102"/>
      <c r="I591" s="170"/>
      <c r="J591" s="111"/>
    </row>
    <row r="592" spans="2:10">
      <c r="B592" s="170"/>
      <c r="C592" s="170"/>
      <c r="D592" s="170"/>
      <c r="E592" s="170"/>
      <c r="F592" s="102"/>
      <c r="G592" s="102"/>
      <c r="H592" s="102"/>
      <c r="I592" s="170"/>
      <c r="J592" s="111"/>
    </row>
    <row r="593" spans="2:10">
      <c r="B593" s="170"/>
      <c r="C593" s="170"/>
      <c r="D593" s="170"/>
      <c r="E593" s="170"/>
      <c r="F593" s="102"/>
      <c r="G593" s="102"/>
      <c r="H593" s="102"/>
      <c r="I593" s="170"/>
      <c r="J593" s="111"/>
    </row>
    <row r="594" spans="2:10">
      <c r="B594" s="170"/>
      <c r="C594" s="170"/>
      <c r="D594" s="170"/>
      <c r="E594" s="170"/>
      <c r="F594" s="102"/>
      <c r="G594" s="102"/>
      <c r="H594" s="102"/>
      <c r="I594" s="170"/>
      <c r="J594" s="111"/>
    </row>
    <row r="595" spans="2:10">
      <c r="B595" s="170"/>
      <c r="C595" s="170"/>
      <c r="D595" s="170"/>
      <c r="E595" s="170"/>
      <c r="F595" s="102"/>
      <c r="G595" s="102"/>
      <c r="H595" s="102"/>
      <c r="I595" s="170"/>
      <c r="J595" s="111"/>
    </row>
    <row r="596" spans="2:10">
      <c r="B596" s="170"/>
      <c r="C596" s="170"/>
      <c r="D596" s="170"/>
      <c r="E596" s="170"/>
      <c r="F596" s="102"/>
      <c r="G596" s="102"/>
      <c r="H596" s="102"/>
      <c r="I596" s="170"/>
      <c r="J596" s="111"/>
    </row>
    <row r="597" spans="2:10">
      <c r="B597" s="170"/>
      <c r="C597" s="170"/>
      <c r="D597" s="170"/>
      <c r="E597" s="170"/>
      <c r="F597" s="102"/>
      <c r="G597" s="102"/>
      <c r="H597" s="102"/>
      <c r="I597" s="170"/>
      <c r="J597" s="111"/>
    </row>
    <row r="598" spans="2:10">
      <c r="B598" s="170"/>
      <c r="C598" s="170"/>
      <c r="D598" s="170"/>
      <c r="E598" s="170"/>
      <c r="F598" s="102"/>
      <c r="G598" s="102"/>
      <c r="H598" s="102"/>
      <c r="I598" s="170"/>
      <c r="J598" s="111"/>
    </row>
    <row r="599" spans="2:10">
      <c r="B599" s="170"/>
      <c r="C599" s="170"/>
      <c r="D599" s="170"/>
      <c r="E599" s="170"/>
      <c r="F599" s="102"/>
      <c r="G599" s="102"/>
      <c r="H599" s="102"/>
      <c r="I599" s="170"/>
      <c r="J599" s="111"/>
    </row>
    <row r="600" spans="2:10">
      <c r="B600" s="170"/>
      <c r="C600" s="170"/>
      <c r="D600" s="170"/>
      <c r="E600" s="170"/>
      <c r="F600" s="102"/>
      <c r="G600" s="102"/>
      <c r="H600" s="102"/>
      <c r="I600" s="170"/>
      <c r="J600" s="111"/>
    </row>
    <row r="601" spans="2:10">
      <c r="B601" s="170"/>
      <c r="C601" s="170"/>
      <c r="D601" s="170"/>
      <c r="E601" s="170"/>
      <c r="F601" s="102"/>
      <c r="G601" s="102"/>
      <c r="H601" s="102"/>
      <c r="I601" s="170"/>
      <c r="J601" s="111"/>
    </row>
    <row r="602" spans="2:10">
      <c r="B602" s="170"/>
      <c r="C602" s="170"/>
      <c r="D602" s="170"/>
      <c r="E602" s="170"/>
      <c r="F602" s="102"/>
      <c r="G602" s="102"/>
      <c r="H602" s="102"/>
      <c r="I602" s="170"/>
      <c r="J602" s="111"/>
    </row>
    <row r="603" spans="2:10">
      <c r="B603" s="170"/>
      <c r="C603" s="170"/>
      <c r="D603" s="170"/>
      <c r="E603" s="170"/>
      <c r="F603" s="102"/>
      <c r="G603" s="102"/>
      <c r="H603" s="102"/>
      <c r="I603" s="170"/>
      <c r="J603" s="111"/>
    </row>
    <row r="604" spans="2:10">
      <c r="B604" s="170"/>
      <c r="C604" s="170"/>
      <c r="D604" s="170"/>
      <c r="E604" s="170"/>
      <c r="F604" s="102"/>
      <c r="G604" s="102"/>
      <c r="H604" s="102"/>
      <c r="I604" s="170"/>
      <c r="J604" s="111"/>
    </row>
    <row r="605" spans="2:10">
      <c r="B605" s="170"/>
      <c r="C605" s="170"/>
      <c r="D605" s="170"/>
      <c r="E605" s="170"/>
      <c r="F605" s="102"/>
      <c r="G605" s="102"/>
      <c r="H605" s="102"/>
      <c r="I605" s="170"/>
      <c r="J605" s="111"/>
    </row>
    <row r="606" spans="2:10">
      <c r="B606" s="170"/>
      <c r="C606" s="170"/>
      <c r="D606" s="170"/>
      <c r="E606" s="170"/>
      <c r="F606" s="102"/>
      <c r="G606" s="102"/>
      <c r="H606" s="102"/>
      <c r="I606" s="170"/>
      <c r="J606" s="111"/>
    </row>
    <row r="607" spans="2:10">
      <c r="B607" s="170"/>
      <c r="C607" s="170"/>
      <c r="D607" s="170"/>
      <c r="E607" s="170"/>
      <c r="F607" s="102"/>
      <c r="G607" s="102"/>
      <c r="H607" s="102"/>
      <c r="I607" s="170"/>
      <c r="J607" s="111"/>
    </row>
    <row r="608" spans="2:10">
      <c r="B608" s="170"/>
      <c r="C608" s="170"/>
      <c r="D608" s="170"/>
      <c r="E608" s="170"/>
      <c r="F608" s="102"/>
      <c r="G608" s="102"/>
      <c r="H608" s="102"/>
      <c r="I608" s="170"/>
      <c r="J608" s="111"/>
    </row>
    <row r="609" spans="2:10">
      <c r="B609" s="170"/>
      <c r="C609" s="170"/>
      <c r="D609" s="170"/>
      <c r="E609" s="170"/>
      <c r="F609" s="102"/>
      <c r="G609" s="102"/>
      <c r="H609" s="102"/>
      <c r="I609" s="170"/>
      <c r="J609" s="111"/>
    </row>
    <row r="610" spans="2:10">
      <c r="B610" s="170"/>
      <c r="C610" s="170"/>
      <c r="D610" s="170"/>
      <c r="E610" s="170"/>
      <c r="F610" s="102"/>
      <c r="G610" s="102"/>
      <c r="H610" s="102"/>
      <c r="I610" s="170"/>
      <c r="J610" s="111"/>
    </row>
    <row r="611" spans="2:10">
      <c r="B611" s="170"/>
      <c r="C611" s="170"/>
      <c r="D611" s="170"/>
      <c r="E611" s="170"/>
      <c r="F611" s="102"/>
      <c r="G611" s="102"/>
      <c r="H611" s="102"/>
      <c r="I611" s="170"/>
      <c r="J611" s="111"/>
    </row>
    <row r="612" spans="2:10">
      <c r="B612" s="170"/>
      <c r="C612" s="170"/>
      <c r="D612" s="170"/>
      <c r="E612" s="170"/>
      <c r="F612" s="102"/>
      <c r="G612" s="102"/>
      <c r="H612" s="102"/>
      <c r="I612" s="170"/>
      <c r="J612" s="111"/>
    </row>
    <row r="613" spans="2:10">
      <c r="B613" s="170"/>
      <c r="C613" s="170"/>
      <c r="D613" s="170"/>
      <c r="E613" s="170"/>
      <c r="F613" s="102"/>
      <c r="G613" s="102"/>
      <c r="H613" s="102"/>
      <c r="I613" s="170"/>
      <c r="J613" s="111"/>
    </row>
    <row r="614" spans="2:10">
      <c r="B614" s="170"/>
      <c r="C614" s="170"/>
      <c r="D614" s="170"/>
      <c r="E614" s="170"/>
      <c r="F614" s="102"/>
      <c r="G614" s="102"/>
      <c r="H614" s="102"/>
      <c r="I614" s="170"/>
      <c r="J614" s="111"/>
    </row>
    <row r="615" spans="2:10">
      <c r="B615" s="170"/>
      <c r="C615" s="170"/>
      <c r="D615" s="170"/>
      <c r="E615" s="170"/>
      <c r="F615" s="102"/>
      <c r="G615" s="102"/>
      <c r="H615" s="102"/>
      <c r="I615" s="170"/>
      <c r="J615" s="111"/>
    </row>
    <row r="616" spans="2:10">
      <c r="B616" s="170"/>
      <c r="C616" s="170"/>
      <c r="D616" s="170"/>
      <c r="E616" s="170"/>
      <c r="F616" s="102"/>
      <c r="G616" s="102"/>
      <c r="H616" s="102"/>
      <c r="I616" s="170"/>
      <c r="J616" s="111"/>
    </row>
    <row r="617" spans="2:10">
      <c r="B617" s="170"/>
      <c r="C617" s="170"/>
      <c r="D617" s="170"/>
      <c r="E617" s="170"/>
      <c r="F617" s="102"/>
      <c r="G617" s="102"/>
      <c r="H617" s="102"/>
      <c r="I617" s="170"/>
      <c r="J617" s="111"/>
    </row>
    <row r="618" spans="2:10">
      <c r="B618" s="170"/>
      <c r="C618" s="170"/>
      <c r="D618" s="170"/>
      <c r="E618" s="170"/>
      <c r="F618" s="102"/>
      <c r="G618" s="102"/>
      <c r="H618" s="102"/>
      <c r="I618" s="170"/>
      <c r="J618" s="111"/>
    </row>
    <row r="619" spans="2:10">
      <c r="B619" s="170"/>
      <c r="C619" s="170"/>
      <c r="D619" s="170"/>
      <c r="E619" s="170"/>
      <c r="F619" s="102"/>
      <c r="G619" s="102"/>
      <c r="H619" s="102"/>
      <c r="I619" s="170"/>
      <c r="J619" s="111"/>
    </row>
    <row r="620" spans="2:10">
      <c r="B620" s="170"/>
      <c r="C620" s="170"/>
      <c r="D620" s="170"/>
      <c r="E620" s="170"/>
      <c r="F620" s="102"/>
      <c r="G620" s="102"/>
      <c r="H620" s="102"/>
      <c r="I620" s="170"/>
      <c r="J620" s="111"/>
    </row>
    <row r="621" spans="2:10">
      <c r="B621" s="170"/>
      <c r="C621" s="170"/>
      <c r="D621" s="170"/>
      <c r="E621" s="170"/>
      <c r="F621" s="102"/>
      <c r="G621" s="102"/>
      <c r="H621" s="102"/>
      <c r="I621" s="170"/>
      <c r="J621" s="111"/>
    </row>
    <row r="622" spans="2:10">
      <c r="B622" s="170"/>
      <c r="C622" s="170"/>
      <c r="D622" s="170"/>
      <c r="E622" s="170"/>
      <c r="F622" s="102"/>
      <c r="G622" s="102"/>
      <c r="H622" s="102"/>
      <c r="I622" s="170"/>
      <c r="J622" s="111"/>
    </row>
    <row r="623" spans="2:10">
      <c r="B623" s="170"/>
      <c r="C623" s="170"/>
      <c r="D623" s="170"/>
      <c r="E623" s="170"/>
      <c r="F623" s="102"/>
      <c r="G623" s="102"/>
      <c r="H623" s="102"/>
      <c r="I623" s="170"/>
      <c r="J623" s="111"/>
    </row>
    <row r="624" spans="2:10">
      <c r="B624" s="170"/>
      <c r="C624" s="170"/>
      <c r="D624" s="170"/>
      <c r="E624" s="170"/>
      <c r="F624" s="102"/>
      <c r="G624" s="102"/>
      <c r="H624" s="102"/>
      <c r="I624" s="170"/>
      <c r="J624" s="111"/>
    </row>
    <row r="625" spans="2:10">
      <c r="B625" s="170"/>
      <c r="C625" s="170"/>
      <c r="D625" s="170"/>
      <c r="E625" s="170"/>
      <c r="F625" s="102"/>
      <c r="G625" s="102"/>
      <c r="H625" s="102"/>
      <c r="I625" s="170"/>
      <c r="J625" s="111"/>
    </row>
    <row r="626" spans="2:10">
      <c r="B626" s="170"/>
      <c r="C626" s="170"/>
      <c r="D626" s="170"/>
      <c r="E626" s="170"/>
      <c r="F626" s="102"/>
      <c r="G626" s="102"/>
      <c r="H626" s="102"/>
      <c r="I626" s="170"/>
      <c r="J626" s="111"/>
    </row>
    <row r="627" spans="2:10">
      <c r="B627" s="170"/>
      <c r="C627" s="170"/>
      <c r="D627" s="170"/>
      <c r="E627" s="170"/>
      <c r="F627" s="102"/>
      <c r="G627" s="102"/>
      <c r="H627" s="102"/>
      <c r="I627" s="170"/>
      <c r="J627" s="111"/>
    </row>
    <row r="628" spans="2:10">
      <c r="B628" s="170"/>
      <c r="C628" s="170"/>
      <c r="D628" s="170"/>
      <c r="E628" s="170"/>
      <c r="F628" s="102"/>
      <c r="G628" s="102"/>
      <c r="H628" s="102"/>
      <c r="I628" s="170"/>
      <c r="J628" s="111"/>
    </row>
    <row r="629" spans="2:10">
      <c r="B629" s="170"/>
      <c r="C629" s="170"/>
      <c r="D629" s="170"/>
      <c r="E629" s="170"/>
      <c r="F629" s="102"/>
      <c r="G629" s="102"/>
      <c r="H629" s="102"/>
      <c r="I629" s="170"/>
      <c r="J629" s="111"/>
    </row>
    <row r="630" spans="2:10">
      <c r="B630" s="170"/>
      <c r="C630" s="170"/>
      <c r="D630" s="170"/>
      <c r="E630" s="170"/>
      <c r="F630" s="102"/>
      <c r="G630" s="102"/>
      <c r="H630" s="102"/>
      <c r="I630" s="170"/>
      <c r="J630" s="111"/>
    </row>
    <row r="631" spans="2:10">
      <c r="B631" s="170"/>
      <c r="C631" s="170"/>
      <c r="D631" s="170"/>
      <c r="E631" s="170"/>
      <c r="F631" s="102"/>
      <c r="G631" s="102"/>
      <c r="H631" s="102"/>
      <c r="I631" s="170"/>
      <c r="J631" s="111"/>
    </row>
    <row r="632" spans="2:10">
      <c r="B632" s="170"/>
      <c r="C632" s="170"/>
      <c r="D632" s="170"/>
      <c r="E632" s="170"/>
      <c r="F632" s="102"/>
      <c r="G632" s="102"/>
      <c r="H632" s="102"/>
      <c r="I632" s="170"/>
      <c r="J632" s="111"/>
    </row>
    <row r="633" spans="2:10">
      <c r="B633" s="170"/>
      <c r="C633" s="170"/>
      <c r="D633" s="170"/>
      <c r="E633" s="170"/>
      <c r="F633" s="102"/>
      <c r="G633" s="102"/>
      <c r="H633" s="102"/>
      <c r="I633" s="170"/>
      <c r="J633" s="111"/>
    </row>
    <row r="634" spans="2:10">
      <c r="B634" s="170"/>
      <c r="C634" s="170"/>
      <c r="D634" s="170"/>
      <c r="E634" s="170"/>
      <c r="F634" s="102"/>
      <c r="G634" s="102"/>
      <c r="H634" s="102"/>
      <c r="I634" s="170"/>
      <c r="J634" s="111"/>
    </row>
    <row r="635" spans="2:10">
      <c r="B635" s="170"/>
      <c r="C635" s="170"/>
      <c r="D635" s="170"/>
      <c r="E635" s="170"/>
      <c r="F635" s="102"/>
      <c r="G635" s="102"/>
      <c r="H635" s="102"/>
      <c r="I635" s="170"/>
      <c r="J635" s="111"/>
    </row>
    <row r="636" spans="2:10">
      <c r="B636" s="170"/>
      <c r="C636" s="170"/>
      <c r="D636" s="170"/>
      <c r="E636" s="170"/>
      <c r="F636" s="102"/>
      <c r="G636" s="102"/>
      <c r="H636" s="102"/>
      <c r="I636" s="170"/>
      <c r="J636" s="111"/>
    </row>
    <row r="637" spans="2:10">
      <c r="B637" s="170"/>
      <c r="C637" s="170"/>
      <c r="D637" s="170"/>
      <c r="E637" s="170"/>
      <c r="F637" s="102"/>
      <c r="G637" s="102"/>
      <c r="H637" s="102"/>
      <c r="I637" s="170"/>
      <c r="J637" s="111"/>
    </row>
    <row r="638" spans="2:10">
      <c r="B638" s="170"/>
      <c r="C638" s="170"/>
      <c r="D638" s="170"/>
      <c r="E638" s="170"/>
      <c r="F638" s="102"/>
      <c r="G638" s="102"/>
      <c r="H638" s="102"/>
      <c r="I638" s="170"/>
      <c r="J638" s="111"/>
    </row>
    <row r="639" spans="2:10">
      <c r="B639" s="170"/>
      <c r="C639" s="170"/>
      <c r="D639" s="170"/>
      <c r="E639" s="170"/>
      <c r="F639" s="102"/>
      <c r="G639" s="102"/>
      <c r="H639" s="102"/>
      <c r="I639" s="170"/>
      <c r="J639" s="111"/>
    </row>
    <row r="640" spans="2:10">
      <c r="B640" s="170"/>
      <c r="C640" s="170"/>
      <c r="D640" s="170"/>
      <c r="E640" s="170"/>
      <c r="F640" s="102"/>
      <c r="G640" s="102"/>
      <c r="H640" s="102"/>
      <c r="I640" s="170"/>
      <c r="J640" s="111"/>
    </row>
    <row r="641" spans="2:10">
      <c r="B641" s="170"/>
      <c r="C641" s="170"/>
      <c r="D641" s="170"/>
      <c r="E641" s="170"/>
      <c r="F641" s="102"/>
      <c r="G641" s="102"/>
      <c r="H641" s="102"/>
      <c r="I641" s="170"/>
      <c r="J641" s="111"/>
    </row>
    <row r="642" spans="2:10">
      <c r="B642" s="170"/>
      <c r="C642" s="170"/>
      <c r="D642" s="170"/>
      <c r="E642" s="170"/>
      <c r="F642" s="102"/>
      <c r="G642" s="102"/>
      <c r="H642" s="102"/>
      <c r="I642" s="170"/>
      <c r="J642" s="111"/>
    </row>
    <row r="643" spans="2:10">
      <c r="B643" s="170"/>
      <c r="C643" s="170"/>
      <c r="D643" s="170"/>
      <c r="E643" s="170"/>
      <c r="F643" s="102"/>
      <c r="G643" s="102"/>
      <c r="H643" s="102"/>
      <c r="I643" s="170"/>
      <c r="J643" s="111"/>
    </row>
    <row r="644" spans="2:10">
      <c r="B644" s="170"/>
      <c r="C644" s="170"/>
      <c r="D644" s="170"/>
      <c r="E644" s="170"/>
      <c r="F644" s="102"/>
      <c r="G644" s="102"/>
      <c r="H644" s="102"/>
      <c r="I644" s="170"/>
      <c r="J644" s="111"/>
    </row>
    <row r="645" spans="2:10">
      <c r="B645" s="170"/>
      <c r="C645" s="170"/>
      <c r="D645" s="170"/>
      <c r="E645" s="170"/>
      <c r="F645" s="102"/>
      <c r="G645" s="102"/>
      <c r="H645" s="102"/>
      <c r="I645" s="170"/>
      <c r="J645" s="111"/>
    </row>
    <row r="646" spans="2:10">
      <c r="B646" s="170"/>
      <c r="C646" s="170"/>
      <c r="D646" s="170"/>
      <c r="E646" s="170"/>
      <c r="F646" s="102"/>
      <c r="G646" s="102"/>
      <c r="H646" s="102"/>
      <c r="I646" s="170"/>
      <c r="J646" s="111"/>
    </row>
    <row r="647" spans="2:10">
      <c r="B647" s="170"/>
      <c r="C647" s="170"/>
      <c r="D647" s="170"/>
      <c r="E647" s="170"/>
      <c r="F647" s="102"/>
      <c r="G647" s="102"/>
      <c r="H647" s="102"/>
      <c r="I647" s="170"/>
      <c r="J647" s="111"/>
    </row>
    <row r="648" spans="2:10">
      <c r="B648" s="170"/>
      <c r="C648" s="170"/>
      <c r="D648" s="170"/>
      <c r="E648" s="170"/>
      <c r="F648" s="102"/>
      <c r="G648" s="102"/>
      <c r="H648" s="102"/>
      <c r="I648" s="170"/>
      <c r="J648" s="111"/>
    </row>
    <row r="649" spans="2:10">
      <c r="B649" s="170"/>
      <c r="C649" s="170"/>
      <c r="D649" s="170"/>
      <c r="E649" s="170"/>
      <c r="F649" s="102"/>
      <c r="G649" s="102"/>
      <c r="H649" s="102"/>
      <c r="I649" s="170"/>
      <c r="J649" s="111"/>
    </row>
    <row r="650" spans="2:10">
      <c r="B650" s="170"/>
      <c r="C650" s="170"/>
      <c r="D650" s="170"/>
      <c r="E650" s="170"/>
      <c r="F650" s="102"/>
      <c r="G650" s="102"/>
      <c r="H650" s="102"/>
      <c r="I650" s="170"/>
      <c r="J650" s="111"/>
    </row>
    <row r="651" spans="2:10">
      <c r="B651" s="170"/>
      <c r="C651" s="170"/>
      <c r="D651" s="170"/>
      <c r="E651" s="170"/>
      <c r="F651" s="102"/>
      <c r="G651" s="102"/>
      <c r="H651" s="102"/>
      <c r="I651" s="170"/>
      <c r="J651" s="111"/>
    </row>
    <row r="652" spans="2:10">
      <c r="B652" s="170"/>
      <c r="C652" s="170"/>
      <c r="D652" s="170"/>
      <c r="E652" s="170"/>
      <c r="F652" s="102"/>
      <c r="G652" s="102"/>
      <c r="H652" s="102"/>
      <c r="I652" s="170"/>
      <c r="J652" s="111"/>
    </row>
    <row r="653" spans="2:10">
      <c r="B653" s="170"/>
      <c r="C653" s="170"/>
      <c r="D653" s="170"/>
      <c r="E653" s="170"/>
      <c r="F653" s="102"/>
      <c r="G653" s="102"/>
      <c r="H653" s="102"/>
      <c r="I653" s="170"/>
      <c r="J653" s="111"/>
    </row>
    <row r="654" spans="2:10">
      <c r="B654" s="170"/>
      <c r="C654" s="170"/>
      <c r="D654" s="170"/>
      <c r="E654" s="170"/>
      <c r="F654" s="102"/>
      <c r="G654" s="102"/>
      <c r="H654" s="102"/>
      <c r="I654" s="170"/>
      <c r="J654" s="111"/>
    </row>
    <row r="655" spans="2:10">
      <c r="B655" s="170"/>
      <c r="C655" s="170"/>
      <c r="D655" s="170"/>
      <c r="E655" s="170"/>
      <c r="F655" s="102"/>
      <c r="G655" s="102"/>
      <c r="H655" s="102"/>
      <c r="I655" s="170"/>
      <c r="J655" s="111"/>
    </row>
    <row r="656" spans="2:10">
      <c r="B656" s="170"/>
      <c r="C656" s="170"/>
      <c r="D656" s="170"/>
      <c r="E656" s="170"/>
      <c r="F656" s="102"/>
      <c r="G656" s="102"/>
      <c r="H656" s="102"/>
      <c r="I656" s="170"/>
      <c r="J656" s="111"/>
    </row>
    <row r="657" spans="2:10">
      <c r="B657" s="170"/>
      <c r="C657" s="170"/>
      <c r="D657" s="170"/>
      <c r="E657" s="170"/>
      <c r="F657" s="102"/>
      <c r="G657" s="102"/>
      <c r="H657" s="102"/>
      <c r="I657" s="170"/>
      <c r="J657" s="111"/>
    </row>
    <row r="658" spans="2:10">
      <c r="B658" s="170"/>
      <c r="C658" s="170"/>
      <c r="D658" s="170"/>
      <c r="E658" s="170"/>
      <c r="F658" s="102"/>
      <c r="G658" s="102"/>
      <c r="H658" s="102"/>
      <c r="I658" s="170"/>
      <c r="J658" s="111"/>
    </row>
    <row r="659" spans="2:10">
      <c r="B659" s="170"/>
      <c r="C659" s="170"/>
      <c r="D659" s="170"/>
      <c r="E659" s="170"/>
      <c r="F659" s="102"/>
      <c r="G659" s="102"/>
      <c r="H659" s="102"/>
      <c r="I659" s="170"/>
      <c r="J659" s="111"/>
    </row>
    <row r="660" spans="2:10">
      <c r="B660" s="170"/>
      <c r="C660" s="170"/>
      <c r="D660" s="170"/>
      <c r="E660" s="170"/>
      <c r="F660" s="102"/>
      <c r="G660" s="102"/>
      <c r="H660" s="102"/>
      <c r="I660" s="170"/>
      <c r="J660" s="111"/>
    </row>
    <row r="661" spans="2:10">
      <c r="B661" s="170"/>
      <c r="C661" s="170"/>
      <c r="D661" s="170"/>
      <c r="E661" s="170"/>
      <c r="F661" s="102"/>
      <c r="G661" s="102"/>
      <c r="H661" s="102"/>
      <c r="I661" s="170"/>
      <c r="J661" s="111"/>
    </row>
    <row r="662" spans="2:10">
      <c r="B662" s="170"/>
      <c r="C662" s="170"/>
      <c r="D662" s="170"/>
      <c r="E662" s="170"/>
      <c r="F662" s="102"/>
      <c r="G662" s="102"/>
      <c r="H662" s="102"/>
      <c r="I662" s="170"/>
      <c r="J662" s="111"/>
    </row>
    <row r="663" spans="2:10">
      <c r="B663" s="170"/>
      <c r="C663" s="170"/>
      <c r="D663" s="170"/>
      <c r="E663" s="170"/>
      <c r="F663" s="102"/>
      <c r="G663" s="102"/>
      <c r="H663" s="102"/>
      <c r="I663" s="170"/>
      <c r="J663" s="111"/>
    </row>
    <row r="664" spans="2:10">
      <c r="B664" s="170"/>
      <c r="C664" s="170"/>
      <c r="D664" s="170"/>
      <c r="E664" s="170"/>
      <c r="F664" s="102"/>
      <c r="G664" s="102"/>
      <c r="H664" s="102"/>
      <c r="I664" s="170"/>
      <c r="J664" s="111"/>
    </row>
    <row r="665" spans="2:10">
      <c r="B665" s="170"/>
      <c r="C665" s="170"/>
      <c r="D665" s="170"/>
      <c r="E665" s="170"/>
      <c r="F665" s="102"/>
      <c r="G665" s="102"/>
      <c r="H665" s="102"/>
      <c r="I665" s="170"/>
      <c r="J665" s="111"/>
    </row>
    <row r="666" spans="2:10">
      <c r="B666" s="170"/>
      <c r="C666" s="170"/>
      <c r="D666" s="170"/>
      <c r="E666" s="170"/>
      <c r="F666" s="102"/>
      <c r="G666" s="102"/>
      <c r="H666" s="102"/>
      <c r="I666" s="170"/>
      <c r="J666" s="111"/>
    </row>
    <row r="667" spans="2:10">
      <c r="B667" s="170"/>
      <c r="C667" s="170"/>
      <c r="D667" s="170"/>
      <c r="E667" s="170"/>
      <c r="F667" s="102"/>
      <c r="G667" s="102"/>
      <c r="H667" s="102"/>
      <c r="I667" s="170"/>
      <c r="J667" s="111"/>
    </row>
    <row r="668" spans="2:10">
      <c r="B668" s="170"/>
      <c r="C668" s="170"/>
      <c r="D668" s="170"/>
      <c r="E668" s="170"/>
      <c r="F668" s="102"/>
      <c r="G668" s="102"/>
      <c r="H668" s="102"/>
      <c r="I668" s="170"/>
      <c r="J668" s="111"/>
    </row>
    <row r="669" spans="2:10">
      <c r="B669" s="170"/>
      <c r="C669" s="170"/>
      <c r="D669" s="170"/>
      <c r="E669" s="170"/>
      <c r="F669" s="102"/>
      <c r="G669" s="102"/>
      <c r="H669" s="102"/>
      <c r="I669" s="170"/>
      <c r="J669" s="111"/>
    </row>
    <row r="670" spans="2:10">
      <c r="B670" s="170"/>
      <c r="C670" s="170"/>
      <c r="D670" s="170"/>
      <c r="E670" s="170"/>
      <c r="F670" s="102"/>
      <c r="G670" s="102"/>
      <c r="H670" s="102"/>
      <c r="I670" s="170"/>
      <c r="J670" s="111"/>
    </row>
    <row r="671" spans="2:10">
      <c r="B671" s="170"/>
      <c r="C671" s="170"/>
      <c r="D671" s="170"/>
      <c r="E671" s="170"/>
      <c r="F671" s="102"/>
      <c r="G671" s="102"/>
      <c r="H671" s="102"/>
      <c r="I671" s="170"/>
      <c r="J671" s="111"/>
    </row>
    <row r="672" spans="2:10">
      <c r="B672" s="170"/>
      <c r="C672" s="170"/>
      <c r="D672" s="170"/>
      <c r="E672" s="170"/>
      <c r="F672" s="102"/>
      <c r="G672" s="102"/>
      <c r="H672" s="102"/>
      <c r="I672" s="170"/>
      <c r="J672" s="111"/>
    </row>
    <row r="673" spans="2:10">
      <c r="B673" s="170"/>
      <c r="C673" s="170"/>
      <c r="D673" s="170"/>
      <c r="E673" s="170"/>
      <c r="F673" s="102"/>
      <c r="G673" s="102"/>
      <c r="H673" s="102"/>
      <c r="I673" s="170"/>
      <c r="J673" s="111"/>
    </row>
    <row r="674" spans="2:10">
      <c r="B674" s="170"/>
      <c r="C674" s="170"/>
      <c r="D674" s="170"/>
      <c r="E674" s="170"/>
      <c r="F674" s="102"/>
      <c r="G674" s="102"/>
      <c r="H674" s="102"/>
      <c r="I674" s="170"/>
      <c r="J674" s="111"/>
    </row>
    <row r="675" spans="2:10">
      <c r="B675" s="170"/>
      <c r="C675" s="170"/>
      <c r="D675" s="170"/>
      <c r="E675" s="170"/>
      <c r="F675" s="102"/>
      <c r="G675" s="102"/>
      <c r="H675" s="102"/>
      <c r="I675" s="170"/>
      <c r="J675" s="111"/>
    </row>
    <row r="676" spans="2:10">
      <c r="B676" s="170"/>
      <c r="C676" s="170"/>
      <c r="D676" s="170"/>
      <c r="E676" s="170"/>
      <c r="F676" s="102"/>
      <c r="G676" s="102"/>
      <c r="H676" s="102"/>
      <c r="I676" s="170"/>
      <c r="J676" s="111"/>
    </row>
    <row r="677" spans="2:10">
      <c r="B677" s="170"/>
      <c r="C677" s="170"/>
      <c r="D677" s="170"/>
      <c r="E677" s="170"/>
      <c r="F677" s="102"/>
      <c r="G677" s="102"/>
      <c r="H677" s="102"/>
      <c r="I677" s="170"/>
      <c r="J677" s="111"/>
    </row>
    <row r="678" spans="2:10">
      <c r="B678" s="170"/>
      <c r="C678" s="170"/>
      <c r="D678" s="170"/>
      <c r="E678" s="170"/>
      <c r="F678" s="102"/>
      <c r="G678" s="102"/>
      <c r="H678" s="102"/>
      <c r="I678" s="170"/>
      <c r="J678" s="111"/>
    </row>
    <row r="679" spans="2:10">
      <c r="B679" s="170"/>
      <c r="C679" s="170"/>
      <c r="D679" s="170"/>
      <c r="E679" s="170"/>
      <c r="F679" s="102"/>
      <c r="G679" s="102"/>
      <c r="H679" s="102"/>
      <c r="I679" s="170"/>
      <c r="J679" s="111"/>
    </row>
    <row r="680" spans="2:10">
      <c r="B680" s="170"/>
      <c r="C680" s="170"/>
      <c r="D680" s="170"/>
      <c r="E680" s="170"/>
      <c r="F680" s="102"/>
      <c r="G680" s="102"/>
      <c r="H680" s="102"/>
      <c r="I680" s="170"/>
      <c r="J680" s="111"/>
    </row>
    <row r="681" spans="2:10">
      <c r="B681" s="170"/>
      <c r="C681" s="170"/>
      <c r="D681" s="170"/>
      <c r="E681" s="170"/>
      <c r="F681" s="102"/>
      <c r="G681" s="102"/>
      <c r="H681" s="102"/>
      <c r="I681" s="170"/>
      <c r="J681" s="111"/>
    </row>
    <row r="682" spans="2:10">
      <c r="B682" s="170"/>
      <c r="C682" s="170"/>
      <c r="D682" s="170"/>
      <c r="E682" s="170"/>
      <c r="F682" s="102"/>
      <c r="G682" s="102"/>
      <c r="H682" s="102"/>
      <c r="I682" s="170"/>
      <c r="J682" s="111"/>
    </row>
    <row r="683" spans="2:10">
      <c r="B683" s="170"/>
      <c r="C683" s="170"/>
      <c r="D683" s="170"/>
      <c r="E683" s="170"/>
      <c r="F683" s="102"/>
      <c r="G683" s="102"/>
      <c r="H683" s="102"/>
      <c r="I683" s="170"/>
      <c r="J683" s="111"/>
    </row>
    <row r="684" spans="2:10">
      <c r="B684" s="170"/>
      <c r="C684" s="170"/>
      <c r="D684" s="170"/>
      <c r="E684" s="170"/>
      <c r="F684" s="102"/>
      <c r="G684" s="102"/>
      <c r="H684" s="102"/>
      <c r="I684" s="170"/>
      <c r="J684" s="111"/>
    </row>
    <row r="685" spans="2:10">
      <c r="B685" s="170"/>
      <c r="C685" s="170"/>
      <c r="D685" s="170"/>
      <c r="E685" s="170"/>
      <c r="F685" s="102"/>
      <c r="G685" s="102"/>
      <c r="H685" s="102"/>
      <c r="I685" s="170"/>
      <c r="J685" s="111"/>
    </row>
    <row r="686" spans="2:10">
      <c r="B686" s="170"/>
      <c r="C686" s="170"/>
      <c r="D686" s="170"/>
      <c r="E686" s="170"/>
      <c r="F686" s="102"/>
      <c r="G686" s="102"/>
      <c r="H686" s="102"/>
      <c r="I686" s="170"/>
      <c r="J686" s="111"/>
    </row>
    <row r="687" spans="2:10">
      <c r="B687" s="170"/>
      <c r="C687" s="170"/>
      <c r="D687" s="170"/>
      <c r="E687" s="170"/>
      <c r="F687" s="102"/>
      <c r="G687" s="102"/>
      <c r="H687" s="102"/>
      <c r="I687" s="170"/>
      <c r="J687" s="111"/>
    </row>
    <row r="688" spans="2:10">
      <c r="B688" s="170"/>
      <c r="C688" s="170"/>
      <c r="D688" s="170"/>
      <c r="E688" s="170"/>
      <c r="F688" s="102"/>
      <c r="G688" s="102"/>
      <c r="H688" s="102"/>
      <c r="I688" s="170"/>
      <c r="J688" s="111"/>
    </row>
    <row r="689" spans="2:10">
      <c r="B689" s="170"/>
      <c r="C689" s="170"/>
      <c r="D689" s="170"/>
      <c r="E689" s="170"/>
      <c r="F689" s="102"/>
      <c r="G689" s="102"/>
      <c r="H689" s="102"/>
      <c r="I689" s="170"/>
      <c r="J689" s="111"/>
    </row>
    <row r="690" spans="2:10">
      <c r="B690" s="170"/>
      <c r="C690" s="170"/>
      <c r="D690" s="170"/>
      <c r="E690" s="170"/>
      <c r="F690" s="102"/>
      <c r="G690" s="102"/>
      <c r="H690" s="102"/>
      <c r="I690" s="170"/>
      <c r="J690" s="111"/>
    </row>
    <row r="691" spans="2:10">
      <c r="B691" s="170"/>
      <c r="C691" s="170"/>
      <c r="D691" s="170"/>
      <c r="E691" s="170"/>
      <c r="F691" s="102"/>
      <c r="G691" s="102"/>
      <c r="H691" s="102"/>
      <c r="I691" s="170"/>
      <c r="J691" s="111"/>
    </row>
    <row r="692" spans="2:10">
      <c r="B692" s="170"/>
      <c r="C692" s="170"/>
      <c r="D692" s="170"/>
      <c r="E692" s="170"/>
      <c r="F692" s="102"/>
      <c r="G692" s="102"/>
      <c r="H692" s="102"/>
      <c r="I692" s="170"/>
      <c r="J692" s="111"/>
    </row>
    <row r="693" spans="2:10">
      <c r="B693" s="170"/>
      <c r="C693" s="170"/>
      <c r="D693" s="170"/>
      <c r="E693" s="170"/>
      <c r="F693" s="102"/>
      <c r="G693" s="102"/>
      <c r="H693" s="102"/>
      <c r="I693" s="170"/>
      <c r="J693" s="111"/>
    </row>
    <row r="694" spans="2:10">
      <c r="B694" s="170"/>
      <c r="C694" s="170"/>
      <c r="D694" s="170"/>
      <c r="E694" s="170"/>
      <c r="F694" s="102"/>
      <c r="G694" s="102"/>
      <c r="H694" s="102"/>
      <c r="I694" s="170"/>
      <c r="J694" s="111"/>
    </row>
    <row r="695" spans="2:10">
      <c r="B695" s="170"/>
      <c r="C695" s="170"/>
      <c r="D695" s="170"/>
      <c r="E695" s="170"/>
      <c r="F695" s="102"/>
      <c r="G695" s="102"/>
      <c r="H695" s="102"/>
      <c r="I695" s="170"/>
      <c r="J695" s="111"/>
    </row>
    <row r="696" spans="2:10">
      <c r="B696" s="170"/>
      <c r="C696" s="170"/>
      <c r="D696" s="170"/>
      <c r="E696" s="170"/>
      <c r="F696" s="102"/>
      <c r="G696" s="102"/>
      <c r="H696" s="102"/>
      <c r="I696" s="170"/>
      <c r="J696" s="111"/>
    </row>
    <row r="697" spans="2:10">
      <c r="B697" s="170"/>
      <c r="C697" s="170"/>
      <c r="D697" s="170"/>
      <c r="E697" s="170"/>
      <c r="F697" s="102"/>
      <c r="G697" s="102"/>
      <c r="H697" s="102"/>
      <c r="I697" s="170"/>
      <c r="J697" s="111"/>
    </row>
    <row r="698" spans="2:10">
      <c r="B698" s="170"/>
      <c r="C698" s="170"/>
      <c r="D698" s="170"/>
      <c r="E698" s="170"/>
      <c r="F698" s="102"/>
      <c r="G698" s="102"/>
      <c r="H698" s="102"/>
      <c r="I698" s="170"/>
      <c r="J698" s="111"/>
    </row>
    <row r="699" spans="2:10">
      <c r="B699" s="170"/>
      <c r="C699" s="170"/>
      <c r="D699" s="170"/>
      <c r="E699" s="170"/>
      <c r="F699" s="102"/>
      <c r="G699" s="102"/>
      <c r="H699" s="102"/>
      <c r="I699" s="170"/>
      <c r="J699" s="111"/>
    </row>
    <row r="700" spans="2:10">
      <c r="B700" s="170"/>
      <c r="C700" s="170"/>
      <c r="D700" s="170"/>
      <c r="E700" s="170"/>
      <c r="F700" s="102"/>
      <c r="G700" s="102"/>
      <c r="H700" s="102"/>
      <c r="I700" s="170"/>
      <c r="J700" s="111"/>
    </row>
    <row r="701" spans="2:10">
      <c r="B701" s="170"/>
      <c r="C701" s="170"/>
      <c r="D701" s="170"/>
      <c r="E701" s="170"/>
      <c r="F701" s="102"/>
      <c r="G701" s="102"/>
      <c r="H701" s="102"/>
      <c r="I701" s="170"/>
      <c r="J701" s="111"/>
    </row>
    <row r="702" spans="2:10">
      <c r="B702" s="170"/>
      <c r="C702" s="170"/>
      <c r="D702" s="170"/>
      <c r="E702" s="170"/>
      <c r="F702" s="102"/>
      <c r="G702" s="102"/>
      <c r="H702" s="102"/>
      <c r="I702" s="170"/>
      <c r="J702" s="111"/>
    </row>
    <row r="703" spans="2:10">
      <c r="B703" s="170"/>
      <c r="C703" s="170"/>
      <c r="D703" s="170"/>
      <c r="E703" s="170"/>
      <c r="F703" s="102"/>
      <c r="G703" s="102"/>
      <c r="H703" s="102"/>
      <c r="I703" s="170"/>
      <c r="J703" s="111"/>
    </row>
    <row r="704" spans="2:10">
      <c r="B704" s="170"/>
      <c r="C704" s="170"/>
      <c r="D704" s="170"/>
      <c r="E704" s="170"/>
      <c r="F704" s="102"/>
      <c r="G704" s="102"/>
      <c r="H704" s="102"/>
      <c r="I704" s="170"/>
      <c r="J704" s="111"/>
    </row>
    <row r="705" spans="2:10">
      <c r="B705" s="170"/>
      <c r="C705" s="170"/>
      <c r="D705" s="170"/>
      <c r="E705" s="170"/>
      <c r="F705" s="102"/>
      <c r="G705" s="102"/>
      <c r="H705" s="102"/>
      <c r="I705" s="170"/>
      <c r="J705" s="111"/>
    </row>
    <row r="706" spans="2:10">
      <c r="B706" s="170"/>
      <c r="C706" s="170"/>
      <c r="D706" s="170"/>
      <c r="E706" s="170"/>
      <c r="F706" s="102"/>
      <c r="G706" s="102"/>
      <c r="H706" s="102"/>
      <c r="I706" s="170"/>
      <c r="J706" s="111"/>
    </row>
    <row r="707" spans="2:10">
      <c r="B707" s="170"/>
      <c r="C707" s="170"/>
      <c r="D707" s="170"/>
      <c r="E707" s="170"/>
      <c r="F707" s="102"/>
      <c r="G707" s="102"/>
      <c r="H707" s="102"/>
      <c r="I707" s="170"/>
      <c r="J707" s="111"/>
    </row>
    <row r="708" spans="2:10">
      <c r="B708" s="170"/>
      <c r="C708" s="170"/>
      <c r="D708" s="170"/>
      <c r="E708" s="170"/>
      <c r="F708" s="102"/>
      <c r="G708" s="102"/>
      <c r="H708" s="102"/>
      <c r="I708" s="170"/>
      <c r="J708" s="111"/>
    </row>
    <row r="709" spans="2:10">
      <c r="B709" s="170"/>
      <c r="C709" s="170"/>
      <c r="D709" s="170"/>
      <c r="E709" s="170"/>
      <c r="F709" s="102"/>
      <c r="G709" s="102"/>
      <c r="H709" s="102"/>
      <c r="I709" s="170"/>
      <c r="J709" s="111"/>
    </row>
    <row r="710" spans="2:10">
      <c r="B710" s="170"/>
      <c r="C710" s="170"/>
      <c r="D710" s="170"/>
      <c r="E710" s="170"/>
      <c r="F710" s="102"/>
      <c r="G710" s="102"/>
      <c r="H710" s="102"/>
      <c r="I710" s="170"/>
      <c r="J710" s="111"/>
    </row>
    <row r="711" spans="2:10">
      <c r="B711" s="170"/>
      <c r="C711" s="170"/>
      <c r="D711" s="170"/>
      <c r="E711" s="170"/>
      <c r="F711" s="102"/>
      <c r="G711" s="102"/>
      <c r="H711" s="102"/>
      <c r="I711" s="170"/>
      <c r="J711" s="111"/>
    </row>
    <row r="712" spans="2:10">
      <c r="B712" s="170"/>
      <c r="C712" s="170"/>
      <c r="D712" s="170"/>
      <c r="E712" s="170"/>
      <c r="F712" s="102"/>
      <c r="G712" s="102"/>
      <c r="H712" s="102"/>
      <c r="I712" s="170"/>
      <c r="J712" s="111"/>
    </row>
    <row r="713" spans="2:10">
      <c r="B713" s="170"/>
      <c r="C713" s="170"/>
      <c r="D713" s="170"/>
      <c r="E713" s="170"/>
      <c r="F713" s="102"/>
      <c r="G713" s="102"/>
      <c r="H713" s="102"/>
      <c r="I713" s="170"/>
      <c r="J713" s="111"/>
    </row>
    <row r="714" spans="2:10">
      <c r="B714" s="170"/>
      <c r="C714" s="170"/>
      <c r="D714" s="170"/>
      <c r="E714" s="170"/>
      <c r="F714" s="102"/>
      <c r="G714" s="102"/>
      <c r="H714" s="102"/>
      <c r="I714" s="170"/>
      <c r="J714" s="111"/>
    </row>
    <row r="715" spans="2:10">
      <c r="B715" s="170"/>
      <c r="C715" s="170"/>
      <c r="D715" s="170"/>
      <c r="E715" s="170"/>
      <c r="F715" s="102"/>
      <c r="G715" s="102"/>
      <c r="H715" s="102"/>
      <c r="I715" s="170"/>
      <c r="J715" s="111"/>
    </row>
    <row r="716" spans="2:10">
      <c r="B716" s="170"/>
      <c r="C716" s="170"/>
      <c r="D716" s="170"/>
      <c r="E716" s="170"/>
      <c r="F716" s="102"/>
      <c r="G716" s="102"/>
      <c r="H716" s="102"/>
      <c r="I716" s="170"/>
      <c r="J716" s="111"/>
    </row>
    <row r="717" spans="2:10">
      <c r="B717" s="170"/>
      <c r="C717" s="170"/>
      <c r="D717" s="170"/>
      <c r="E717" s="170"/>
      <c r="F717" s="102"/>
      <c r="G717" s="102"/>
      <c r="H717" s="102"/>
      <c r="I717" s="170"/>
      <c r="J717" s="111"/>
    </row>
    <row r="718" spans="2:10">
      <c r="B718" s="170"/>
      <c r="C718" s="170"/>
      <c r="D718" s="170"/>
      <c r="E718" s="170"/>
      <c r="F718" s="102"/>
      <c r="G718" s="102"/>
      <c r="H718" s="102"/>
      <c r="I718" s="170"/>
      <c r="J718" s="111"/>
    </row>
    <row r="719" spans="2:10">
      <c r="B719" s="170"/>
      <c r="C719" s="170"/>
      <c r="D719" s="170"/>
      <c r="E719" s="170"/>
      <c r="F719" s="102"/>
      <c r="G719" s="102"/>
      <c r="H719" s="102"/>
      <c r="I719" s="170"/>
      <c r="J719" s="111"/>
    </row>
    <row r="720" spans="2:10">
      <c r="B720" s="170"/>
      <c r="C720" s="170"/>
      <c r="D720" s="170"/>
      <c r="E720" s="170"/>
      <c r="F720" s="102"/>
      <c r="G720" s="102"/>
      <c r="H720" s="102"/>
      <c r="I720" s="170"/>
      <c r="J720" s="111"/>
    </row>
    <row r="721" spans="2:10">
      <c r="B721" s="170"/>
      <c r="C721" s="170"/>
      <c r="D721" s="170"/>
      <c r="E721" s="170"/>
      <c r="F721" s="102"/>
      <c r="G721" s="102"/>
      <c r="H721" s="102"/>
      <c r="I721" s="170"/>
      <c r="J721" s="111"/>
    </row>
    <row r="722" spans="2:10">
      <c r="B722" s="170"/>
      <c r="C722" s="170"/>
      <c r="D722" s="170"/>
      <c r="E722" s="170"/>
      <c r="F722" s="102"/>
      <c r="G722" s="102"/>
      <c r="H722" s="102"/>
      <c r="I722" s="170"/>
      <c r="J722" s="111"/>
    </row>
    <row r="723" spans="2:10">
      <c r="B723" s="170"/>
      <c r="C723" s="170"/>
      <c r="D723" s="170"/>
      <c r="E723" s="170"/>
      <c r="F723" s="102"/>
      <c r="G723" s="102"/>
      <c r="H723" s="102"/>
      <c r="I723" s="170"/>
      <c r="J723" s="111"/>
    </row>
    <row r="724" spans="2:10">
      <c r="B724" s="170"/>
      <c r="C724" s="170"/>
      <c r="D724" s="170"/>
      <c r="E724" s="170"/>
      <c r="F724" s="102"/>
      <c r="G724" s="102"/>
      <c r="H724" s="102"/>
      <c r="I724" s="170"/>
      <c r="J724" s="111"/>
    </row>
    <row r="725" spans="2:10">
      <c r="B725" s="170"/>
      <c r="C725" s="170"/>
      <c r="D725" s="170"/>
      <c r="E725" s="170"/>
      <c r="F725" s="102"/>
      <c r="G725" s="102"/>
      <c r="H725" s="102"/>
      <c r="I725" s="170"/>
      <c r="J725" s="111"/>
    </row>
    <row r="726" spans="2:10">
      <c r="B726" s="170"/>
      <c r="C726" s="170"/>
      <c r="D726" s="170"/>
      <c r="E726" s="170"/>
      <c r="F726" s="102"/>
      <c r="G726" s="102"/>
      <c r="H726" s="102"/>
      <c r="I726" s="170"/>
      <c r="J726" s="111"/>
    </row>
    <row r="727" spans="2:10">
      <c r="B727" s="170"/>
      <c r="C727" s="170"/>
      <c r="D727" s="170"/>
      <c r="E727" s="170"/>
      <c r="F727" s="102"/>
      <c r="G727" s="102"/>
      <c r="H727" s="102"/>
      <c r="I727" s="170"/>
      <c r="J727" s="111"/>
    </row>
    <row r="728" spans="2:10">
      <c r="B728" s="170"/>
      <c r="C728" s="170"/>
      <c r="D728" s="170"/>
      <c r="E728" s="170"/>
      <c r="F728" s="102"/>
      <c r="G728" s="102"/>
      <c r="H728" s="102"/>
      <c r="I728" s="170"/>
      <c r="J728" s="111"/>
    </row>
    <row r="729" spans="2:10">
      <c r="B729" s="170"/>
      <c r="C729" s="170"/>
      <c r="D729" s="170"/>
      <c r="E729" s="170"/>
      <c r="F729" s="102"/>
      <c r="G729" s="102"/>
      <c r="H729" s="102"/>
      <c r="I729" s="170"/>
      <c r="J729" s="111"/>
    </row>
    <row r="730" spans="2:10">
      <c r="B730" s="170"/>
      <c r="C730" s="170"/>
      <c r="D730" s="170"/>
      <c r="E730" s="170"/>
      <c r="F730" s="102"/>
      <c r="G730" s="102"/>
      <c r="H730" s="102"/>
      <c r="I730" s="170"/>
      <c r="J730" s="111"/>
    </row>
    <row r="731" spans="2:10">
      <c r="B731" s="170"/>
      <c r="C731" s="170"/>
      <c r="D731" s="170"/>
      <c r="E731" s="170"/>
      <c r="F731" s="102"/>
      <c r="G731" s="102"/>
      <c r="H731" s="102"/>
      <c r="I731" s="170"/>
      <c r="J731" s="111"/>
    </row>
    <row r="732" spans="2:10">
      <c r="B732" s="170"/>
      <c r="C732" s="170"/>
      <c r="D732" s="170"/>
      <c r="E732" s="170"/>
      <c r="F732" s="102"/>
      <c r="G732" s="102"/>
      <c r="H732" s="102"/>
      <c r="I732" s="170"/>
      <c r="J732" s="111"/>
    </row>
    <row r="733" spans="2:10">
      <c r="B733" s="170"/>
      <c r="C733" s="170"/>
      <c r="D733" s="170"/>
      <c r="E733" s="170"/>
      <c r="F733" s="102"/>
      <c r="G733" s="102"/>
      <c r="H733" s="102"/>
      <c r="I733" s="170"/>
      <c r="J733" s="111"/>
    </row>
    <row r="734" spans="2:10">
      <c r="B734" s="170"/>
      <c r="C734" s="170"/>
      <c r="D734" s="170"/>
      <c r="E734" s="170"/>
      <c r="F734" s="102"/>
      <c r="G734" s="102"/>
      <c r="H734" s="102"/>
      <c r="I734" s="170"/>
      <c r="J734" s="111"/>
    </row>
    <row r="735" spans="2:10">
      <c r="B735" s="170"/>
      <c r="C735" s="170"/>
      <c r="D735" s="170"/>
      <c r="E735" s="170"/>
      <c r="F735" s="102"/>
      <c r="G735" s="102"/>
      <c r="H735" s="102"/>
      <c r="I735" s="170"/>
      <c r="J735" s="111"/>
    </row>
    <row r="736" spans="2:10">
      <c r="B736" s="170"/>
      <c r="C736" s="170"/>
      <c r="D736" s="170"/>
      <c r="E736" s="170"/>
      <c r="F736" s="102"/>
      <c r="G736" s="102"/>
      <c r="H736" s="102"/>
      <c r="I736" s="170"/>
      <c r="J736" s="111"/>
    </row>
    <row r="737" spans="2:10">
      <c r="B737" s="170"/>
      <c r="C737" s="170"/>
      <c r="D737" s="170"/>
      <c r="E737" s="170"/>
      <c r="F737" s="102"/>
      <c r="G737" s="102"/>
      <c r="H737" s="102"/>
      <c r="I737" s="170"/>
      <c r="J737" s="111"/>
    </row>
    <row r="738" spans="2:10">
      <c r="B738" s="170"/>
      <c r="C738" s="170"/>
      <c r="D738" s="170"/>
      <c r="E738" s="170"/>
      <c r="F738" s="102"/>
      <c r="G738" s="102"/>
      <c r="H738" s="102"/>
      <c r="I738" s="170"/>
      <c r="J738" s="111"/>
    </row>
    <row r="739" spans="2:10">
      <c r="B739" s="170"/>
      <c r="C739" s="170"/>
      <c r="D739" s="170"/>
      <c r="E739" s="170"/>
      <c r="F739" s="102"/>
      <c r="G739" s="102"/>
      <c r="H739" s="102"/>
      <c r="I739" s="170"/>
      <c r="J739" s="111"/>
    </row>
    <row r="740" spans="2:10">
      <c r="B740" s="170"/>
      <c r="C740" s="170"/>
      <c r="D740" s="170"/>
      <c r="E740" s="170"/>
      <c r="F740" s="102"/>
      <c r="G740" s="102"/>
      <c r="H740" s="102"/>
      <c r="I740" s="170"/>
      <c r="J740" s="111"/>
    </row>
    <row r="741" spans="2:10">
      <c r="B741" s="170"/>
      <c r="C741" s="170"/>
      <c r="D741" s="170"/>
      <c r="E741" s="170"/>
      <c r="F741" s="102"/>
      <c r="G741" s="102"/>
      <c r="H741" s="102"/>
      <c r="I741" s="170"/>
      <c r="J741" s="111"/>
    </row>
    <row r="742" spans="2:10">
      <c r="B742" s="170"/>
      <c r="C742" s="170"/>
      <c r="D742" s="170"/>
      <c r="E742" s="170"/>
      <c r="F742" s="102"/>
      <c r="G742" s="102"/>
      <c r="H742" s="102"/>
      <c r="I742" s="170"/>
      <c r="J742" s="111"/>
    </row>
    <row r="743" spans="2:10">
      <c r="B743" s="170"/>
      <c r="C743" s="170"/>
      <c r="D743" s="170"/>
      <c r="E743" s="170"/>
      <c r="F743" s="102"/>
      <c r="G743" s="102"/>
      <c r="H743" s="102"/>
      <c r="I743" s="170"/>
      <c r="J743" s="111"/>
    </row>
    <row r="744" spans="2:10">
      <c r="B744" s="170"/>
      <c r="C744" s="170"/>
      <c r="D744" s="170"/>
      <c r="E744" s="170"/>
      <c r="F744" s="102"/>
      <c r="G744" s="102"/>
      <c r="H744" s="102"/>
      <c r="I744" s="170"/>
      <c r="J744" s="111"/>
    </row>
    <row r="745" spans="2:10">
      <c r="B745" s="170"/>
      <c r="C745" s="170"/>
      <c r="D745" s="170"/>
      <c r="E745" s="170"/>
      <c r="F745" s="102"/>
      <c r="G745" s="102"/>
      <c r="H745" s="102"/>
      <c r="I745" s="170"/>
      <c r="J745" s="111"/>
    </row>
    <row r="746" spans="2:10">
      <c r="B746" s="170"/>
      <c r="C746" s="170"/>
      <c r="D746" s="170"/>
      <c r="E746" s="170"/>
      <c r="F746" s="102"/>
      <c r="G746" s="102"/>
      <c r="H746" s="102"/>
      <c r="I746" s="170"/>
      <c r="J746" s="111"/>
    </row>
    <row r="747" spans="2:10">
      <c r="B747" s="170"/>
      <c r="C747" s="170"/>
      <c r="D747" s="170"/>
      <c r="E747" s="170"/>
      <c r="F747" s="102"/>
      <c r="G747" s="102"/>
      <c r="H747" s="102"/>
      <c r="I747" s="170"/>
      <c r="J747" s="111"/>
    </row>
    <row r="748" spans="2:10">
      <c r="B748" s="170"/>
      <c r="C748" s="170"/>
      <c r="D748" s="170"/>
      <c r="E748" s="170"/>
      <c r="F748" s="102"/>
      <c r="G748" s="102"/>
      <c r="H748" s="102"/>
      <c r="I748" s="170"/>
      <c r="J748" s="111"/>
    </row>
    <row r="749" spans="2:10">
      <c r="B749" s="170"/>
      <c r="C749" s="170"/>
      <c r="D749" s="170"/>
      <c r="E749" s="170"/>
      <c r="F749" s="102"/>
      <c r="G749" s="102"/>
      <c r="H749" s="102"/>
      <c r="I749" s="170"/>
      <c r="J749" s="111"/>
    </row>
    <row r="750" spans="2:10">
      <c r="B750" s="170"/>
      <c r="C750" s="170"/>
      <c r="D750" s="170"/>
      <c r="E750" s="170"/>
      <c r="F750" s="102"/>
      <c r="G750" s="102"/>
      <c r="H750" s="102"/>
      <c r="I750" s="170"/>
      <c r="J750" s="111"/>
    </row>
    <row r="751" spans="2:10">
      <c r="B751" s="170"/>
      <c r="C751" s="170"/>
      <c r="D751" s="170"/>
      <c r="E751" s="170"/>
      <c r="F751" s="102"/>
      <c r="G751" s="102"/>
      <c r="H751" s="102"/>
      <c r="I751" s="170"/>
      <c r="J751" s="111"/>
    </row>
    <row r="752" spans="2:10">
      <c r="B752" s="170"/>
      <c r="C752" s="170"/>
      <c r="D752" s="170"/>
      <c r="E752" s="170"/>
      <c r="F752" s="102"/>
      <c r="G752" s="102"/>
      <c r="H752" s="102"/>
      <c r="I752" s="170"/>
      <c r="J752" s="111"/>
    </row>
    <row r="753" spans="2:10">
      <c r="B753" s="170"/>
      <c r="C753" s="170"/>
      <c r="D753" s="170"/>
      <c r="E753" s="170"/>
      <c r="F753" s="102"/>
      <c r="G753" s="102"/>
      <c r="H753" s="102"/>
      <c r="I753" s="170"/>
      <c r="J753" s="111"/>
    </row>
    <row r="754" spans="2:10">
      <c r="B754" s="170"/>
      <c r="C754" s="170"/>
      <c r="D754" s="170"/>
      <c r="E754" s="170"/>
      <c r="F754" s="102"/>
      <c r="G754" s="102"/>
      <c r="H754" s="102"/>
      <c r="I754" s="170"/>
      <c r="J754" s="111"/>
    </row>
    <row r="755" spans="2:10">
      <c r="B755" s="170"/>
      <c r="C755" s="170"/>
      <c r="D755" s="170"/>
      <c r="E755" s="170"/>
      <c r="F755" s="102"/>
      <c r="G755" s="102"/>
      <c r="H755" s="102"/>
      <c r="I755" s="170"/>
      <c r="J755" s="111"/>
    </row>
    <row r="756" spans="2:10">
      <c r="B756" s="170"/>
      <c r="C756" s="170"/>
      <c r="D756" s="170"/>
      <c r="E756" s="170"/>
      <c r="F756" s="102"/>
      <c r="G756" s="102"/>
      <c r="H756" s="102"/>
      <c r="I756" s="170"/>
      <c r="J756" s="111"/>
    </row>
    <row r="757" spans="2:10">
      <c r="B757" s="170"/>
      <c r="C757" s="170"/>
      <c r="D757" s="170"/>
      <c r="E757" s="170"/>
      <c r="F757" s="102"/>
      <c r="G757" s="102"/>
      <c r="H757" s="102"/>
      <c r="I757" s="170"/>
      <c r="J757" s="111"/>
    </row>
    <row r="758" spans="2:10">
      <c r="B758" s="170"/>
      <c r="C758" s="170"/>
      <c r="D758" s="170"/>
      <c r="E758" s="170"/>
      <c r="F758" s="102"/>
      <c r="G758" s="102"/>
      <c r="H758" s="102"/>
      <c r="I758" s="170"/>
      <c r="J758" s="111"/>
    </row>
    <row r="759" spans="2:10">
      <c r="B759" s="170"/>
      <c r="C759" s="170"/>
      <c r="D759" s="170"/>
      <c r="E759" s="170"/>
      <c r="F759" s="102"/>
      <c r="G759" s="102"/>
      <c r="H759" s="102"/>
      <c r="I759" s="170"/>
      <c r="J759" s="111"/>
    </row>
    <row r="760" spans="2:10">
      <c r="B760" s="170"/>
      <c r="C760" s="170"/>
      <c r="D760" s="170"/>
      <c r="E760" s="170"/>
      <c r="F760" s="102"/>
      <c r="G760" s="102"/>
      <c r="H760" s="102"/>
      <c r="I760" s="170"/>
      <c r="J760" s="111"/>
    </row>
    <row r="761" spans="2:10">
      <c r="B761" s="170"/>
      <c r="C761" s="170"/>
      <c r="D761" s="170"/>
      <c r="E761" s="170"/>
      <c r="F761" s="102"/>
      <c r="G761" s="102"/>
      <c r="H761" s="102"/>
      <c r="I761" s="170"/>
      <c r="J761" s="111"/>
    </row>
    <row r="762" spans="2:10">
      <c r="B762" s="170"/>
      <c r="C762" s="170"/>
      <c r="D762" s="170"/>
      <c r="E762" s="170"/>
      <c r="F762" s="102"/>
      <c r="G762" s="102"/>
      <c r="H762" s="102"/>
      <c r="I762" s="170"/>
      <c r="J762" s="111"/>
    </row>
    <row r="763" spans="2:10">
      <c r="B763" s="170"/>
      <c r="C763" s="170"/>
      <c r="D763" s="170"/>
      <c r="E763" s="170"/>
      <c r="F763" s="102"/>
      <c r="G763" s="102"/>
      <c r="H763" s="102"/>
      <c r="I763" s="170"/>
      <c r="J763" s="111"/>
    </row>
    <row r="764" spans="2:10">
      <c r="B764" s="170"/>
      <c r="C764" s="170"/>
      <c r="D764" s="170"/>
      <c r="E764" s="170"/>
      <c r="F764" s="102"/>
      <c r="G764" s="102"/>
      <c r="H764" s="102"/>
      <c r="I764" s="170"/>
      <c r="J764" s="111"/>
    </row>
    <row r="765" spans="2:10">
      <c r="B765" s="170"/>
      <c r="C765" s="170"/>
      <c r="D765" s="170"/>
      <c r="E765" s="170"/>
      <c r="F765" s="102"/>
      <c r="G765" s="102"/>
      <c r="H765" s="102"/>
      <c r="I765" s="170"/>
      <c r="J765" s="111"/>
    </row>
    <row r="766" spans="2:10">
      <c r="B766" s="170"/>
      <c r="C766" s="170"/>
      <c r="D766" s="170"/>
      <c r="E766" s="170"/>
      <c r="F766" s="102"/>
      <c r="G766" s="102"/>
      <c r="H766" s="102"/>
      <c r="I766" s="170"/>
      <c r="J766" s="111"/>
    </row>
    <row r="767" spans="2:10">
      <c r="B767" s="170"/>
      <c r="C767" s="170"/>
      <c r="D767" s="170"/>
      <c r="E767" s="170"/>
      <c r="F767" s="102"/>
      <c r="G767" s="102"/>
      <c r="H767" s="102"/>
      <c r="I767" s="170"/>
      <c r="J767" s="111"/>
    </row>
    <row r="768" spans="2:10">
      <c r="B768" s="170"/>
      <c r="C768" s="170"/>
      <c r="D768" s="170"/>
      <c r="E768" s="170"/>
      <c r="F768" s="102"/>
      <c r="G768" s="102"/>
      <c r="H768" s="102"/>
      <c r="I768" s="170"/>
      <c r="J768" s="111"/>
    </row>
    <row r="769" spans="2:10">
      <c r="B769" s="170"/>
      <c r="C769" s="170"/>
      <c r="D769" s="170"/>
      <c r="E769" s="170"/>
      <c r="F769" s="102"/>
      <c r="G769" s="102"/>
      <c r="H769" s="102"/>
      <c r="I769" s="170"/>
      <c r="J769" s="111"/>
    </row>
    <row r="770" spans="2:10">
      <c r="B770" s="170"/>
      <c r="C770" s="170"/>
      <c r="D770" s="170"/>
      <c r="E770" s="170"/>
      <c r="F770" s="102"/>
      <c r="G770" s="102"/>
      <c r="H770" s="102"/>
      <c r="I770" s="170"/>
      <c r="J770" s="111"/>
    </row>
    <row r="771" spans="2:10">
      <c r="B771" s="170"/>
      <c r="C771" s="170"/>
      <c r="D771" s="170"/>
      <c r="E771" s="170"/>
      <c r="F771" s="102"/>
      <c r="G771" s="102"/>
      <c r="H771" s="102"/>
      <c r="I771" s="170"/>
      <c r="J771" s="111"/>
    </row>
    <row r="772" spans="2:10">
      <c r="B772" s="170"/>
      <c r="C772" s="170"/>
      <c r="D772" s="170"/>
      <c r="E772" s="170"/>
      <c r="F772" s="102"/>
      <c r="G772" s="102"/>
      <c r="H772" s="102"/>
      <c r="I772" s="170"/>
      <c r="J772" s="111"/>
    </row>
    <row r="773" spans="2:10">
      <c r="B773" s="170"/>
      <c r="C773" s="170"/>
      <c r="D773" s="170"/>
      <c r="E773" s="170"/>
      <c r="F773" s="102"/>
      <c r="G773" s="102"/>
      <c r="H773" s="102"/>
      <c r="I773" s="170"/>
      <c r="J773" s="111"/>
    </row>
    <row r="774" spans="2:10">
      <c r="B774" s="170"/>
      <c r="C774" s="170"/>
      <c r="D774" s="170"/>
      <c r="E774" s="170"/>
      <c r="F774" s="102"/>
      <c r="G774" s="102"/>
      <c r="H774" s="102"/>
      <c r="I774" s="170"/>
      <c r="J774" s="111"/>
    </row>
    <row r="775" spans="2:10">
      <c r="B775" s="170"/>
      <c r="C775" s="170"/>
      <c r="D775" s="170"/>
      <c r="E775" s="170"/>
      <c r="F775" s="102"/>
      <c r="G775" s="102"/>
      <c r="H775" s="102"/>
      <c r="I775" s="170"/>
      <c r="J775" s="111"/>
    </row>
    <row r="776" spans="2:10">
      <c r="B776" s="170"/>
      <c r="C776" s="170"/>
      <c r="D776" s="170"/>
      <c r="E776" s="170"/>
      <c r="F776" s="102"/>
      <c r="G776" s="102"/>
      <c r="H776" s="102"/>
      <c r="I776" s="170"/>
      <c r="J776" s="111"/>
    </row>
    <row r="777" spans="2:10">
      <c r="B777" s="170"/>
      <c r="C777" s="170"/>
      <c r="D777" s="170"/>
      <c r="E777" s="170"/>
      <c r="F777" s="102"/>
      <c r="G777" s="102"/>
      <c r="H777" s="102"/>
      <c r="I777" s="170"/>
      <c r="J777" s="111"/>
    </row>
    <row r="778" spans="2:10">
      <c r="B778" s="170"/>
      <c r="C778" s="170"/>
      <c r="D778" s="170"/>
      <c r="E778" s="170"/>
      <c r="F778" s="102"/>
      <c r="G778" s="102"/>
      <c r="H778" s="102"/>
      <c r="I778" s="170"/>
      <c r="J778" s="111"/>
    </row>
    <row r="779" spans="2:10">
      <c r="B779" s="170"/>
      <c r="C779" s="170"/>
      <c r="D779" s="170"/>
      <c r="E779" s="170"/>
      <c r="F779" s="102"/>
      <c r="G779" s="102"/>
      <c r="H779" s="102"/>
      <c r="I779" s="170"/>
      <c r="J779" s="111"/>
    </row>
    <row r="780" spans="2:10">
      <c r="B780" s="170"/>
      <c r="C780" s="170"/>
      <c r="D780" s="170"/>
      <c r="E780" s="170"/>
      <c r="F780" s="102"/>
      <c r="G780" s="102"/>
      <c r="H780" s="102"/>
      <c r="I780" s="170"/>
      <c r="J780" s="111"/>
    </row>
    <row r="781" spans="2:10">
      <c r="B781" s="170"/>
      <c r="C781" s="170"/>
      <c r="D781" s="170"/>
      <c r="E781" s="170"/>
      <c r="F781" s="102"/>
      <c r="G781" s="102"/>
      <c r="H781" s="102"/>
      <c r="I781" s="170"/>
      <c r="J781" s="111"/>
    </row>
    <row r="782" spans="2:10">
      <c r="B782" s="170"/>
      <c r="C782" s="170"/>
      <c r="D782" s="170"/>
      <c r="E782" s="170"/>
      <c r="F782" s="102"/>
      <c r="G782" s="102"/>
      <c r="H782" s="102"/>
      <c r="I782" s="170"/>
      <c r="J782" s="111"/>
    </row>
    <row r="783" spans="2:10">
      <c r="B783" s="170"/>
      <c r="C783" s="170"/>
      <c r="D783" s="170"/>
      <c r="E783" s="170"/>
      <c r="F783" s="102"/>
      <c r="G783" s="102"/>
      <c r="H783" s="102"/>
      <c r="I783" s="170"/>
      <c r="J783" s="111"/>
    </row>
    <row r="784" spans="2:10">
      <c r="B784" s="170"/>
      <c r="C784" s="170"/>
      <c r="D784" s="170"/>
      <c r="E784" s="170"/>
      <c r="F784" s="102"/>
      <c r="G784" s="102"/>
      <c r="H784" s="102"/>
      <c r="I784" s="170"/>
      <c r="J784" s="111"/>
    </row>
    <row r="785" spans="2:10">
      <c r="B785" s="170"/>
      <c r="C785" s="170"/>
      <c r="D785" s="170"/>
      <c r="E785" s="170"/>
      <c r="F785" s="102"/>
      <c r="G785" s="102"/>
      <c r="H785" s="102"/>
      <c r="I785" s="170"/>
      <c r="J785" s="111"/>
    </row>
    <row r="786" spans="2:10">
      <c r="B786" s="170"/>
      <c r="C786" s="170"/>
      <c r="D786" s="170"/>
      <c r="E786" s="170"/>
      <c r="F786" s="102"/>
      <c r="G786" s="102"/>
      <c r="H786" s="102"/>
      <c r="I786" s="170"/>
      <c r="J786" s="111"/>
    </row>
    <row r="787" spans="2:10">
      <c r="B787" s="170"/>
      <c r="C787" s="170"/>
      <c r="D787" s="170"/>
      <c r="E787" s="170"/>
      <c r="F787" s="102"/>
      <c r="G787" s="102"/>
      <c r="H787" s="102"/>
      <c r="I787" s="170"/>
      <c r="J787" s="111"/>
    </row>
    <row r="788" spans="2:10">
      <c r="B788" s="170"/>
      <c r="C788" s="170"/>
      <c r="D788" s="170"/>
      <c r="E788" s="170"/>
      <c r="F788" s="102"/>
      <c r="G788" s="102"/>
      <c r="H788" s="102"/>
      <c r="I788" s="170"/>
      <c r="J788" s="111"/>
    </row>
    <row r="789" spans="2:10">
      <c r="B789" s="170"/>
      <c r="C789" s="170"/>
      <c r="D789" s="170"/>
      <c r="E789" s="170"/>
      <c r="F789" s="102"/>
      <c r="G789" s="102"/>
      <c r="H789" s="102"/>
      <c r="I789" s="170"/>
      <c r="J789" s="111"/>
    </row>
    <row r="790" spans="2:10">
      <c r="B790" s="170"/>
      <c r="C790" s="170"/>
      <c r="D790" s="170"/>
      <c r="E790" s="170"/>
      <c r="F790" s="102"/>
      <c r="G790" s="102"/>
      <c r="H790" s="102"/>
      <c r="I790" s="170"/>
      <c r="J790" s="111"/>
    </row>
    <row r="791" spans="2:10">
      <c r="B791" s="170"/>
      <c r="C791" s="170"/>
      <c r="D791" s="170"/>
      <c r="E791" s="170"/>
      <c r="F791" s="102"/>
      <c r="G791" s="102"/>
      <c r="H791" s="102"/>
      <c r="I791" s="170"/>
      <c r="J791" s="111"/>
    </row>
    <row r="792" spans="2:10">
      <c r="B792" s="170"/>
      <c r="C792" s="170"/>
      <c r="D792" s="170"/>
      <c r="E792" s="170"/>
      <c r="F792" s="102"/>
      <c r="G792" s="102"/>
      <c r="H792" s="102"/>
      <c r="I792" s="170"/>
      <c r="J792" s="111"/>
    </row>
    <row r="793" spans="2:10">
      <c r="B793" s="170"/>
      <c r="C793" s="170"/>
      <c r="D793" s="170"/>
      <c r="E793" s="170"/>
      <c r="F793" s="102"/>
      <c r="G793" s="102"/>
      <c r="H793" s="102"/>
      <c r="I793" s="170"/>
      <c r="J793" s="111"/>
    </row>
    <row r="794" spans="2:10">
      <c r="B794" s="170"/>
      <c r="C794" s="170"/>
      <c r="D794" s="170"/>
      <c r="E794" s="170"/>
      <c r="F794" s="102"/>
      <c r="G794" s="102"/>
      <c r="H794" s="102"/>
      <c r="I794" s="170"/>
      <c r="J794" s="111"/>
    </row>
    <row r="795" spans="2:10">
      <c r="B795" s="170"/>
      <c r="C795" s="170"/>
      <c r="D795" s="170"/>
      <c r="E795" s="170"/>
      <c r="F795" s="102"/>
      <c r="G795" s="102"/>
      <c r="H795" s="102"/>
      <c r="I795" s="170"/>
      <c r="J795" s="111"/>
    </row>
    <row r="796" spans="2:10">
      <c r="B796" s="170"/>
      <c r="C796" s="170"/>
      <c r="D796" s="170"/>
      <c r="E796" s="170"/>
      <c r="F796" s="102"/>
      <c r="G796" s="102"/>
      <c r="H796" s="102"/>
      <c r="I796" s="170"/>
      <c r="J796" s="111"/>
    </row>
    <row r="797" spans="2:10">
      <c r="B797" s="170"/>
      <c r="C797" s="170"/>
      <c r="D797" s="170"/>
      <c r="E797" s="170"/>
      <c r="F797" s="102"/>
      <c r="G797" s="102"/>
      <c r="H797" s="102"/>
      <c r="I797" s="170"/>
      <c r="J797" s="111"/>
    </row>
    <row r="798" spans="2:10">
      <c r="B798" s="170"/>
      <c r="C798" s="170"/>
      <c r="D798" s="170"/>
      <c r="E798" s="170"/>
      <c r="F798" s="102"/>
      <c r="G798" s="102"/>
      <c r="H798" s="102"/>
      <c r="I798" s="170"/>
      <c r="J798" s="111"/>
    </row>
    <row r="799" spans="2:10">
      <c r="B799" s="170"/>
      <c r="C799" s="170"/>
      <c r="D799" s="170"/>
      <c r="E799" s="170"/>
      <c r="F799" s="102"/>
      <c r="G799" s="102"/>
      <c r="H799" s="102"/>
      <c r="I799" s="170"/>
      <c r="J799" s="111"/>
    </row>
    <row r="800" spans="2:10">
      <c r="B800" s="170"/>
      <c r="C800" s="170"/>
      <c r="D800" s="170"/>
      <c r="E800" s="170"/>
      <c r="F800" s="102"/>
      <c r="G800" s="102"/>
      <c r="H800" s="102"/>
      <c r="I800" s="170"/>
      <c r="J800" s="111"/>
    </row>
    <row r="801" spans="2:10">
      <c r="B801" s="170"/>
      <c r="C801" s="170"/>
      <c r="D801" s="170"/>
      <c r="E801" s="170"/>
      <c r="F801" s="102"/>
      <c r="G801" s="102"/>
      <c r="H801" s="102"/>
      <c r="I801" s="170"/>
      <c r="J801" s="111"/>
    </row>
    <row r="802" spans="2:10">
      <c r="B802" s="170"/>
      <c r="C802" s="170"/>
      <c r="D802" s="170"/>
      <c r="E802" s="170"/>
      <c r="F802" s="102"/>
      <c r="G802" s="102"/>
      <c r="H802" s="102"/>
      <c r="I802" s="170"/>
      <c r="J802" s="111"/>
    </row>
    <row r="803" spans="2:10">
      <c r="B803" s="170"/>
      <c r="C803" s="170"/>
      <c r="D803" s="170"/>
      <c r="E803" s="170"/>
      <c r="F803" s="102"/>
      <c r="G803" s="102"/>
      <c r="H803" s="102"/>
      <c r="I803" s="170"/>
      <c r="J803" s="111"/>
    </row>
    <row r="804" spans="2:10">
      <c r="B804" s="170"/>
      <c r="C804" s="170"/>
      <c r="D804" s="170"/>
      <c r="E804" s="170"/>
      <c r="F804" s="102"/>
      <c r="G804" s="102"/>
      <c r="H804" s="102"/>
      <c r="I804" s="170"/>
      <c r="J804" s="111"/>
    </row>
    <row r="805" spans="2:10">
      <c r="B805" s="170"/>
      <c r="C805" s="170"/>
      <c r="D805" s="170"/>
      <c r="E805" s="170"/>
      <c r="F805" s="102"/>
      <c r="G805" s="102"/>
      <c r="H805" s="102"/>
      <c r="I805" s="170"/>
      <c r="J805" s="111"/>
    </row>
    <row r="806" spans="2:10">
      <c r="B806" s="170"/>
      <c r="C806" s="170"/>
      <c r="D806" s="170"/>
      <c r="E806" s="170"/>
      <c r="F806" s="102"/>
      <c r="G806" s="102"/>
      <c r="H806" s="102"/>
      <c r="I806" s="170"/>
      <c r="J806" s="111"/>
    </row>
    <row r="807" spans="2:10">
      <c r="B807" s="170"/>
      <c r="C807" s="170"/>
      <c r="D807" s="170"/>
      <c r="E807" s="170"/>
      <c r="F807" s="102"/>
      <c r="G807" s="102"/>
      <c r="H807" s="102"/>
      <c r="I807" s="170"/>
      <c r="J807" s="111"/>
    </row>
    <row r="808" spans="2:10">
      <c r="B808" s="170"/>
      <c r="C808" s="170"/>
      <c r="D808" s="170"/>
      <c r="E808" s="170"/>
      <c r="F808" s="102"/>
      <c r="G808" s="102"/>
      <c r="H808" s="102"/>
      <c r="I808" s="170"/>
      <c r="J808" s="111"/>
    </row>
    <row r="809" spans="2:10">
      <c r="B809" s="170"/>
      <c r="C809" s="170"/>
      <c r="D809" s="170"/>
      <c r="E809" s="170"/>
      <c r="F809" s="102"/>
      <c r="G809" s="102"/>
      <c r="H809" s="102"/>
      <c r="I809" s="170"/>
      <c r="J809" s="111"/>
    </row>
    <row r="810" spans="2:10">
      <c r="B810" s="170"/>
      <c r="C810" s="170"/>
      <c r="D810" s="170"/>
      <c r="E810" s="170"/>
      <c r="F810" s="102"/>
      <c r="G810" s="102"/>
      <c r="H810" s="102"/>
      <c r="I810" s="170"/>
      <c r="J810" s="111"/>
    </row>
    <row r="811" spans="2:10">
      <c r="B811" s="170"/>
      <c r="C811" s="170"/>
      <c r="D811" s="170"/>
      <c r="E811" s="170"/>
      <c r="F811" s="102"/>
      <c r="G811" s="102"/>
      <c r="H811" s="102"/>
      <c r="I811" s="170"/>
      <c r="J811" s="111"/>
    </row>
    <row r="812" spans="2:10">
      <c r="B812" s="170"/>
      <c r="C812" s="170"/>
      <c r="D812" s="170"/>
      <c r="E812" s="170"/>
      <c r="F812" s="102"/>
      <c r="G812" s="102"/>
      <c r="H812" s="102"/>
      <c r="I812" s="170"/>
      <c r="J812" s="111"/>
    </row>
    <row r="813" spans="2:10">
      <c r="B813" s="170"/>
      <c r="C813" s="170"/>
      <c r="D813" s="170"/>
      <c r="E813" s="170"/>
      <c r="F813" s="102"/>
      <c r="G813" s="102"/>
      <c r="H813" s="102"/>
      <c r="I813" s="170"/>
      <c r="J813" s="111"/>
    </row>
    <row r="814" spans="2:10">
      <c r="B814" s="170"/>
      <c r="C814" s="170"/>
      <c r="D814" s="170"/>
      <c r="E814" s="170"/>
      <c r="F814" s="102"/>
      <c r="G814" s="102"/>
      <c r="H814" s="102"/>
      <c r="I814" s="170"/>
      <c r="J814" s="111"/>
    </row>
    <row r="815" spans="2:10">
      <c r="B815" s="170"/>
      <c r="C815" s="170"/>
      <c r="D815" s="170"/>
      <c r="E815" s="170"/>
      <c r="F815" s="102"/>
      <c r="G815" s="102"/>
      <c r="H815" s="102"/>
      <c r="I815" s="170"/>
      <c r="J815" s="111"/>
    </row>
    <row r="816" spans="2:10">
      <c r="B816" s="170"/>
      <c r="C816" s="170"/>
      <c r="D816" s="170"/>
      <c r="E816" s="170"/>
      <c r="F816" s="102"/>
      <c r="G816" s="102"/>
      <c r="H816" s="102"/>
      <c r="I816" s="170"/>
      <c r="J816" s="111"/>
    </row>
    <row r="817" spans="2:10">
      <c r="B817" s="170"/>
      <c r="C817" s="170"/>
      <c r="D817" s="170"/>
      <c r="E817" s="170"/>
      <c r="F817" s="102"/>
      <c r="G817" s="102"/>
      <c r="H817" s="102"/>
      <c r="I817" s="170"/>
      <c r="J817" s="111"/>
    </row>
    <row r="818" spans="2:10">
      <c r="B818" s="170"/>
      <c r="C818" s="170"/>
      <c r="D818" s="170"/>
      <c r="E818" s="170"/>
      <c r="F818" s="102"/>
      <c r="G818" s="102"/>
      <c r="H818" s="102"/>
      <c r="I818" s="170"/>
      <c r="J818" s="111"/>
    </row>
    <row r="819" spans="2:10">
      <c r="B819" s="170"/>
      <c r="C819" s="170"/>
      <c r="D819" s="170"/>
      <c r="E819" s="170"/>
      <c r="F819" s="102"/>
      <c r="G819" s="102"/>
      <c r="H819" s="102"/>
      <c r="I819" s="170"/>
      <c r="J819" s="111"/>
    </row>
    <row r="820" spans="2:10">
      <c r="B820" s="170"/>
      <c r="C820" s="170"/>
      <c r="D820" s="170"/>
      <c r="E820" s="170"/>
      <c r="F820" s="102"/>
      <c r="G820" s="102"/>
      <c r="H820" s="102"/>
      <c r="I820" s="170"/>
      <c r="J820" s="111"/>
    </row>
    <row r="821" spans="2:10">
      <c r="B821" s="170"/>
      <c r="C821" s="170"/>
      <c r="D821" s="170"/>
      <c r="E821" s="170"/>
      <c r="F821" s="102"/>
      <c r="G821" s="102"/>
      <c r="H821" s="102"/>
      <c r="I821" s="170"/>
      <c r="J821" s="111"/>
    </row>
    <row r="822" spans="2:10">
      <c r="B822" s="170"/>
      <c r="C822" s="170"/>
      <c r="D822" s="170"/>
      <c r="E822" s="170"/>
      <c r="F822" s="102"/>
      <c r="G822" s="102"/>
      <c r="H822" s="102"/>
      <c r="I822" s="170"/>
      <c r="J822" s="111"/>
    </row>
    <row r="823" spans="2:10">
      <c r="B823" s="170"/>
      <c r="C823" s="170"/>
      <c r="D823" s="170"/>
      <c r="E823" s="170"/>
      <c r="F823" s="102"/>
      <c r="G823" s="102"/>
      <c r="H823" s="102"/>
      <c r="I823" s="170"/>
      <c r="J823" s="111"/>
    </row>
    <row r="824" spans="2:10">
      <c r="B824" s="170"/>
      <c r="C824" s="170"/>
      <c r="D824" s="170"/>
      <c r="E824" s="170"/>
      <c r="F824" s="102"/>
      <c r="G824" s="102"/>
      <c r="H824" s="102"/>
      <c r="I824" s="170"/>
      <c r="J824" s="111"/>
    </row>
    <row r="825" spans="2:10">
      <c r="B825" s="170"/>
      <c r="C825" s="170"/>
      <c r="D825" s="170"/>
      <c r="E825" s="170"/>
      <c r="F825" s="102"/>
      <c r="G825" s="102"/>
      <c r="H825" s="102"/>
      <c r="I825" s="170"/>
      <c r="J825" s="111"/>
    </row>
    <row r="826" spans="2:10">
      <c r="B826" s="170"/>
      <c r="C826" s="170"/>
      <c r="D826" s="170"/>
      <c r="E826" s="170"/>
      <c r="F826" s="102"/>
      <c r="G826" s="102"/>
      <c r="H826" s="102"/>
      <c r="I826" s="170"/>
      <c r="J826" s="111"/>
    </row>
    <row r="827" spans="2:10">
      <c r="B827" s="170"/>
      <c r="C827" s="170"/>
      <c r="D827" s="170"/>
      <c r="E827" s="170"/>
      <c r="F827" s="102"/>
      <c r="G827" s="102"/>
      <c r="H827" s="102"/>
      <c r="I827" s="170"/>
      <c r="J827" s="111"/>
    </row>
    <row r="828" spans="2:10">
      <c r="B828" s="170"/>
      <c r="C828" s="170"/>
      <c r="D828" s="170"/>
      <c r="E828" s="170"/>
      <c r="F828" s="102"/>
      <c r="G828" s="102"/>
      <c r="H828" s="102"/>
      <c r="I828" s="170"/>
      <c r="J828" s="111"/>
    </row>
    <row r="829" spans="2:10">
      <c r="B829" s="170"/>
      <c r="C829" s="170"/>
      <c r="D829" s="170"/>
      <c r="E829" s="170"/>
      <c r="F829" s="102"/>
      <c r="G829" s="102"/>
      <c r="H829" s="102"/>
      <c r="I829" s="170"/>
      <c r="J829" s="111"/>
    </row>
    <row r="830" spans="2:10">
      <c r="B830" s="170"/>
      <c r="C830" s="170"/>
      <c r="D830" s="170"/>
      <c r="E830" s="170"/>
      <c r="F830" s="102"/>
      <c r="G830" s="102"/>
      <c r="H830" s="102"/>
      <c r="I830" s="170"/>
      <c r="J830" s="111"/>
    </row>
    <row r="831" spans="2:10">
      <c r="B831" s="170"/>
      <c r="C831" s="170"/>
      <c r="D831" s="170"/>
      <c r="E831" s="170"/>
      <c r="F831" s="102"/>
      <c r="G831" s="102"/>
      <c r="H831" s="102"/>
      <c r="I831" s="170"/>
      <c r="J831" s="111"/>
    </row>
    <row r="832" spans="2:10">
      <c r="B832" s="170"/>
      <c r="C832" s="170"/>
      <c r="D832" s="170"/>
      <c r="E832" s="170"/>
      <c r="F832" s="102"/>
      <c r="G832" s="102"/>
      <c r="H832" s="102"/>
      <c r="I832" s="170"/>
      <c r="J832" s="111"/>
    </row>
    <row r="833" spans="2:10">
      <c r="B833" s="170"/>
      <c r="C833" s="170"/>
      <c r="D833" s="170"/>
      <c r="E833" s="170"/>
      <c r="F833" s="102"/>
      <c r="G833" s="102"/>
      <c r="H833" s="102"/>
      <c r="I833" s="170"/>
      <c r="J833" s="111"/>
    </row>
    <row r="834" spans="2:10">
      <c r="B834" s="170"/>
      <c r="C834" s="170"/>
      <c r="D834" s="170"/>
      <c r="E834" s="170"/>
      <c r="F834" s="102"/>
      <c r="G834" s="102"/>
      <c r="H834" s="102"/>
      <c r="I834" s="170"/>
      <c r="J834" s="111"/>
    </row>
    <row r="835" spans="2:10">
      <c r="B835" s="170"/>
      <c r="C835" s="170"/>
      <c r="D835" s="170"/>
      <c r="E835" s="170"/>
      <c r="F835" s="102"/>
      <c r="G835" s="102"/>
      <c r="H835" s="102"/>
      <c r="I835" s="170"/>
      <c r="J835" s="111"/>
    </row>
    <row r="836" spans="2:10">
      <c r="B836" s="170"/>
      <c r="C836" s="170"/>
      <c r="D836" s="170"/>
      <c r="E836" s="170"/>
      <c r="F836" s="102"/>
      <c r="G836" s="102"/>
      <c r="H836" s="102"/>
      <c r="I836" s="170"/>
      <c r="J836" s="111"/>
    </row>
    <row r="837" spans="2:10">
      <c r="B837" s="170"/>
      <c r="C837" s="170"/>
      <c r="D837" s="170"/>
      <c r="E837" s="170"/>
      <c r="F837" s="102"/>
      <c r="G837" s="102"/>
      <c r="H837" s="102"/>
      <c r="I837" s="170"/>
      <c r="J837" s="111"/>
    </row>
    <row r="838" spans="2:10">
      <c r="B838" s="170"/>
      <c r="C838" s="170"/>
      <c r="D838" s="170"/>
      <c r="E838" s="170"/>
      <c r="F838" s="102"/>
      <c r="G838" s="102"/>
      <c r="H838" s="102"/>
      <c r="I838" s="170"/>
      <c r="J838" s="111"/>
    </row>
    <row r="839" spans="2:10">
      <c r="B839" s="170"/>
      <c r="C839" s="170"/>
      <c r="D839" s="170"/>
      <c r="E839" s="170"/>
      <c r="F839" s="102"/>
      <c r="G839" s="102"/>
      <c r="H839" s="102"/>
      <c r="I839" s="170"/>
      <c r="J839" s="111"/>
    </row>
    <row r="840" spans="2:10">
      <c r="B840" s="170"/>
      <c r="C840" s="170"/>
      <c r="D840" s="170"/>
      <c r="E840" s="170"/>
      <c r="F840" s="102"/>
      <c r="G840" s="102"/>
      <c r="H840" s="102"/>
      <c r="I840" s="170"/>
      <c r="J840" s="111"/>
    </row>
    <row r="841" spans="2:10">
      <c r="B841" s="170"/>
      <c r="C841" s="170"/>
      <c r="D841" s="170"/>
      <c r="E841" s="170"/>
      <c r="F841" s="102"/>
      <c r="G841" s="102"/>
      <c r="H841" s="102"/>
      <c r="I841" s="170"/>
      <c r="J841" s="111"/>
    </row>
    <row r="842" spans="2:10">
      <c r="B842" s="170"/>
      <c r="C842" s="170"/>
      <c r="D842" s="170"/>
      <c r="E842" s="170"/>
      <c r="F842" s="102"/>
      <c r="G842" s="102"/>
      <c r="H842" s="102"/>
      <c r="I842" s="170"/>
      <c r="J842" s="111"/>
    </row>
    <row r="843" spans="2:10">
      <c r="B843" s="170"/>
      <c r="C843" s="170"/>
      <c r="D843" s="170"/>
      <c r="E843" s="170"/>
      <c r="F843" s="102"/>
      <c r="G843" s="102"/>
      <c r="H843" s="102"/>
      <c r="I843" s="170"/>
      <c r="J843" s="111"/>
    </row>
    <row r="844" spans="2:10">
      <c r="B844" s="170"/>
      <c r="C844" s="170"/>
      <c r="D844" s="170"/>
      <c r="E844" s="170"/>
      <c r="F844" s="102"/>
      <c r="G844" s="102"/>
      <c r="H844" s="102"/>
      <c r="I844" s="170"/>
      <c r="J844" s="111"/>
    </row>
    <row r="845" spans="2:10">
      <c r="B845" s="170"/>
      <c r="C845" s="170"/>
      <c r="D845" s="170"/>
      <c r="E845" s="170"/>
      <c r="F845" s="102"/>
      <c r="G845" s="102"/>
      <c r="H845" s="102"/>
      <c r="I845" s="170"/>
      <c r="J845" s="111"/>
    </row>
    <row r="846" spans="2:10">
      <c r="B846" s="170"/>
      <c r="C846" s="170"/>
      <c r="D846" s="170"/>
      <c r="E846" s="170"/>
      <c r="F846" s="102"/>
      <c r="G846" s="102"/>
      <c r="H846" s="102"/>
      <c r="I846" s="170"/>
      <c r="J846" s="111"/>
    </row>
    <row r="847" spans="2:10">
      <c r="B847" s="170"/>
      <c r="C847" s="170"/>
      <c r="D847" s="170"/>
      <c r="E847" s="170"/>
      <c r="F847" s="102"/>
      <c r="G847" s="102"/>
      <c r="H847" s="102"/>
      <c r="I847" s="170"/>
      <c r="J847" s="111"/>
    </row>
    <row r="848" spans="2:10">
      <c r="B848" s="170"/>
      <c r="C848" s="170"/>
      <c r="D848" s="170"/>
      <c r="E848" s="170"/>
      <c r="F848" s="102"/>
      <c r="G848" s="102"/>
      <c r="H848" s="102"/>
      <c r="I848" s="170"/>
      <c r="J848" s="111"/>
    </row>
    <row r="849" spans="2:10">
      <c r="B849" s="170"/>
      <c r="C849" s="170"/>
      <c r="D849" s="170"/>
      <c r="E849" s="170"/>
      <c r="F849" s="102"/>
      <c r="G849" s="102"/>
      <c r="H849" s="102"/>
      <c r="I849" s="170"/>
      <c r="J849" s="111"/>
    </row>
    <row r="850" spans="2:10">
      <c r="B850" s="170"/>
      <c r="C850" s="170"/>
      <c r="D850" s="170"/>
      <c r="E850" s="170"/>
      <c r="F850" s="102"/>
      <c r="G850" s="102"/>
      <c r="H850" s="102"/>
      <c r="I850" s="170"/>
      <c r="J850" s="111"/>
    </row>
    <row r="851" spans="2:10">
      <c r="B851" s="170"/>
      <c r="C851" s="170"/>
      <c r="D851" s="170"/>
      <c r="E851" s="170"/>
      <c r="F851" s="102"/>
      <c r="G851" s="102"/>
      <c r="H851" s="102"/>
      <c r="I851" s="170"/>
      <c r="J851" s="111"/>
    </row>
    <row r="852" spans="2:10">
      <c r="B852" s="170"/>
      <c r="C852" s="170"/>
      <c r="D852" s="170"/>
      <c r="E852" s="170"/>
      <c r="F852" s="102"/>
      <c r="G852" s="102"/>
      <c r="H852" s="102"/>
      <c r="I852" s="170"/>
      <c r="J852" s="111"/>
    </row>
    <row r="853" spans="2:10">
      <c r="B853" s="170"/>
      <c r="C853" s="170"/>
      <c r="D853" s="170"/>
      <c r="E853" s="170"/>
      <c r="F853" s="102"/>
      <c r="G853" s="102"/>
      <c r="H853" s="102"/>
      <c r="I853" s="170"/>
      <c r="J853" s="111"/>
    </row>
    <row r="854" spans="2:10">
      <c r="B854" s="170"/>
      <c r="C854" s="170"/>
      <c r="D854" s="170"/>
      <c r="E854" s="170"/>
      <c r="F854" s="102"/>
      <c r="G854" s="102"/>
      <c r="H854" s="102"/>
      <c r="I854" s="170"/>
      <c r="J854" s="111"/>
    </row>
    <row r="855" spans="2:10">
      <c r="B855" s="170"/>
      <c r="C855" s="170"/>
      <c r="D855" s="170"/>
      <c r="E855" s="170"/>
      <c r="F855" s="102"/>
      <c r="G855" s="102"/>
      <c r="H855" s="102"/>
      <c r="I855" s="170"/>
      <c r="J855" s="111"/>
    </row>
    <row r="856" spans="2:10">
      <c r="B856" s="170"/>
      <c r="C856" s="170"/>
      <c r="D856" s="170"/>
      <c r="E856" s="170"/>
      <c r="F856" s="102"/>
      <c r="G856" s="102"/>
      <c r="H856" s="102"/>
      <c r="I856" s="170"/>
      <c r="J856" s="111"/>
    </row>
    <row r="857" spans="2:10">
      <c r="B857" s="170"/>
      <c r="C857" s="170"/>
      <c r="D857" s="170"/>
      <c r="E857" s="170"/>
      <c r="F857" s="102"/>
      <c r="G857" s="102"/>
      <c r="H857" s="102"/>
      <c r="I857" s="170"/>
      <c r="J857" s="111"/>
    </row>
    <row r="858" spans="2:10">
      <c r="B858" s="170"/>
      <c r="C858" s="170"/>
      <c r="D858" s="170"/>
      <c r="E858" s="170"/>
      <c r="F858" s="102"/>
      <c r="G858" s="102"/>
      <c r="H858" s="102"/>
      <c r="I858" s="170"/>
      <c r="J858" s="111"/>
    </row>
    <row r="859" spans="2:10">
      <c r="B859" s="170"/>
      <c r="C859" s="170"/>
      <c r="D859" s="170"/>
      <c r="E859" s="170"/>
      <c r="F859" s="102"/>
      <c r="G859" s="102"/>
      <c r="H859" s="102"/>
      <c r="I859" s="170"/>
      <c r="J859" s="111"/>
    </row>
    <row r="860" spans="2:10">
      <c r="B860" s="170"/>
      <c r="C860" s="170"/>
      <c r="D860" s="170"/>
      <c r="E860" s="170"/>
      <c r="F860" s="102"/>
      <c r="G860" s="102"/>
      <c r="H860" s="102"/>
      <c r="I860" s="170"/>
      <c r="J860" s="111"/>
    </row>
    <row r="861" spans="2:10">
      <c r="B861" s="170"/>
      <c r="C861" s="170"/>
      <c r="D861" s="170"/>
      <c r="E861" s="170"/>
      <c r="F861" s="102"/>
      <c r="G861" s="102"/>
      <c r="H861" s="102"/>
      <c r="I861" s="170"/>
      <c r="J861" s="111"/>
    </row>
    <row r="862" spans="2:10">
      <c r="B862" s="170"/>
      <c r="C862" s="170"/>
      <c r="D862" s="170"/>
      <c r="E862" s="170"/>
      <c r="F862" s="102"/>
      <c r="G862" s="102"/>
      <c r="H862" s="102"/>
      <c r="I862" s="170"/>
      <c r="J862" s="111"/>
    </row>
    <row r="863" spans="2:10">
      <c r="B863" s="170"/>
      <c r="C863" s="170"/>
      <c r="D863" s="170"/>
      <c r="E863" s="170"/>
      <c r="F863" s="102"/>
      <c r="G863" s="102"/>
      <c r="H863" s="102"/>
      <c r="I863" s="170"/>
      <c r="J863" s="111"/>
    </row>
    <row r="864" spans="2:10">
      <c r="B864" s="170"/>
      <c r="C864" s="170"/>
      <c r="D864" s="170"/>
      <c r="E864" s="170"/>
      <c r="F864" s="102"/>
      <c r="G864" s="102"/>
      <c r="H864" s="102"/>
      <c r="I864" s="170"/>
      <c r="J864" s="111"/>
    </row>
    <row r="865" spans="2:10">
      <c r="B865" s="170"/>
      <c r="C865" s="170"/>
      <c r="D865" s="170"/>
      <c r="E865" s="170"/>
      <c r="F865" s="102"/>
      <c r="G865" s="102"/>
      <c r="H865" s="102"/>
      <c r="I865" s="170"/>
      <c r="J865" s="111"/>
    </row>
    <row r="866" spans="2:10">
      <c r="B866" s="170"/>
      <c r="C866" s="170"/>
      <c r="D866" s="170"/>
      <c r="E866" s="170"/>
      <c r="F866" s="102"/>
      <c r="G866" s="102"/>
      <c r="H866" s="102"/>
      <c r="I866" s="170"/>
      <c r="J866" s="111"/>
    </row>
    <row r="867" spans="2:10">
      <c r="B867" s="170"/>
      <c r="C867" s="170"/>
      <c r="D867" s="170"/>
      <c r="E867" s="170"/>
      <c r="F867" s="102"/>
      <c r="G867" s="102"/>
      <c r="H867" s="102"/>
      <c r="I867" s="170"/>
      <c r="J867" s="111"/>
    </row>
    <row r="868" spans="2:10">
      <c r="B868" s="170"/>
      <c r="C868" s="170"/>
      <c r="D868" s="170"/>
      <c r="E868" s="170"/>
      <c r="F868" s="102"/>
      <c r="G868" s="102"/>
      <c r="H868" s="102"/>
      <c r="I868" s="170"/>
      <c r="J868" s="111"/>
    </row>
    <row r="869" spans="2:10">
      <c r="B869" s="170"/>
      <c r="C869" s="170"/>
      <c r="D869" s="170"/>
      <c r="E869" s="170"/>
      <c r="F869" s="102"/>
      <c r="G869" s="102"/>
      <c r="H869" s="102"/>
      <c r="I869" s="170"/>
      <c r="J869" s="111"/>
    </row>
    <row r="870" spans="2:10">
      <c r="B870" s="170"/>
      <c r="C870" s="170"/>
      <c r="D870" s="170"/>
      <c r="E870" s="170"/>
      <c r="F870" s="102"/>
      <c r="G870" s="102"/>
      <c r="H870" s="102"/>
      <c r="I870" s="170"/>
      <c r="J870" s="111"/>
    </row>
    <row r="871" spans="2:10">
      <c r="B871" s="170"/>
      <c r="C871" s="170"/>
      <c r="D871" s="170"/>
      <c r="E871" s="170"/>
      <c r="F871" s="102"/>
      <c r="G871" s="102"/>
      <c r="H871" s="102"/>
      <c r="I871" s="170"/>
      <c r="J871" s="111"/>
    </row>
    <row r="872" spans="2:10">
      <c r="B872" s="170"/>
      <c r="C872" s="170"/>
      <c r="D872" s="170"/>
      <c r="E872" s="170"/>
      <c r="F872" s="102"/>
      <c r="G872" s="102"/>
      <c r="H872" s="102"/>
      <c r="I872" s="170"/>
      <c r="J872" s="111"/>
    </row>
    <row r="873" spans="2:10">
      <c r="B873" s="170"/>
      <c r="C873" s="170"/>
      <c r="D873" s="170"/>
      <c r="E873" s="170"/>
      <c r="F873" s="102"/>
      <c r="G873" s="102"/>
      <c r="H873" s="102"/>
      <c r="I873" s="170"/>
      <c r="J873" s="111"/>
    </row>
    <row r="874" spans="2:10">
      <c r="B874" s="170"/>
      <c r="C874" s="170"/>
      <c r="D874" s="170"/>
      <c r="E874" s="170"/>
      <c r="F874" s="102"/>
      <c r="G874" s="102"/>
      <c r="H874" s="102"/>
      <c r="I874" s="170"/>
      <c r="J874" s="111"/>
    </row>
    <row r="875" spans="2:10">
      <c r="B875" s="170"/>
      <c r="C875" s="170"/>
      <c r="D875" s="170"/>
      <c r="E875" s="170"/>
      <c r="F875" s="102"/>
      <c r="G875" s="102"/>
      <c r="H875" s="102"/>
      <c r="I875" s="170"/>
      <c r="J875" s="111"/>
    </row>
    <row r="876" spans="2:10">
      <c r="B876" s="170"/>
      <c r="C876" s="170"/>
      <c r="D876" s="170"/>
      <c r="E876" s="170"/>
      <c r="F876" s="102"/>
      <c r="G876" s="102"/>
      <c r="H876" s="102"/>
      <c r="I876" s="170"/>
      <c r="J876" s="111"/>
    </row>
    <row r="877" spans="2:10">
      <c r="B877" s="170"/>
      <c r="C877" s="170"/>
      <c r="D877" s="170"/>
      <c r="E877" s="170"/>
      <c r="F877" s="102"/>
      <c r="G877" s="102"/>
      <c r="H877" s="102"/>
      <c r="I877" s="170"/>
      <c r="J877" s="111"/>
    </row>
    <row r="878" spans="2:10">
      <c r="B878" s="170"/>
      <c r="C878" s="170"/>
      <c r="D878" s="170"/>
      <c r="E878" s="170"/>
      <c r="F878" s="102"/>
      <c r="G878" s="102"/>
      <c r="H878" s="102"/>
      <c r="I878" s="170"/>
      <c r="J878" s="111"/>
    </row>
    <row r="879" spans="2:10">
      <c r="B879" s="170"/>
      <c r="C879" s="170"/>
      <c r="D879" s="170"/>
      <c r="E879" s="170"/>
      <c r="F879" s="102"/>
      <c r="G879" s="102"/>
      <c r="H879" s="102"/>
      <c r="I879" s="170"/>
      <c r="J879" s="111"/>
    </row>
    <row r="880" spans="2:10">
      <c r="B880" s="170"/>
      <c r="C880" s="170"/>
      <c r="D880" s="170"/>
      <c r="E880" s="170"/>
      <c r="F880" s="102"/>
      <c r="G880" s="102"/>
      <c r="H880" s="102"/>
      <c r="I880" s="170"/>
      <c r="J880" s="111"/>
    </row>
    <row r="881" spans="2:10">
      <c r="B881" s="170"/>
      <c r="C881" s="170"/>
      <c r="D881" s="170"/>
      <c r="E881" s="170"/>
      <c r="F881" s="102"/>
      <c r="G881" s="102"/>
      <c r="H881" s="102"/>
      <c r="I881" s="170"/>
      <c r="J881" s="111"/>
    </row>
    <row r="882" spans="2:10">
      <c r="B882" s="170"/>
      <c r="C882" s="170"/>
      <c r="D882" s="170"/>
      <c r="E882" s="170"/>
      <c r="F882" s="102"/>
      <c r="G882" s="102"/>
      <c r="H882" s="102"/>
      <c r="I882" s="170"/>
      <c r="J882" s="111"/>
    </row>
    <row r="883" spans="2:10">
      <c r="B883" s="170"/>
      <c r="C883" s="170"/>
      <c r="D883" s="170"/>
      <c r="E883" s="170"/>
      <c r="F883" s="102"/>
      <c r="G883" s="102"/>
      <c r="H883" s="102"/>
      <c r="I883" s="170"/>
      <c r="J883" s="111"/>
    </row>
    <row r="884" spans="2:10">
      <c r="B884" s="170"/>
      <c r="C884" s="170"/>
      <c r="D884" s="170"/>
      <c r="E884" s="170"/>
      <c r="F884" s="102"/>
      <c r="G884" s="102"/>
      <c r="H884" s="102"/>
      <c r="I884" s="170"/>
      <c r="J884" s="111"/>
    </row>
    <row r="885" spans="2:10">
      <c r="B885" s="170"/>
      <c r="C885" s="170"/>
      <c r="D885" s="170"/>
      <c r="E885" s="170"/>
      <c r="F885" s="102"/>
      <c r="G885" s="102"/>
      <c r="H885" s="102"/>
      <c r="I885" s="170"/>
      <c r="J885" s="111"/>
    </row>
    <row r="886" spans="2:10">
      <c r="B886" s="170"/>
      <c r="C886" s="170"/>
      <c r="D886" s="170"/>
      <c r="E886" s="170"/>
      <c r="F886" s="102"/>
      <c r="G886" s="102"/>
      <c r="H886" s="102"/>
      <c r="I886" s="170"/>
      <c r="J886" s="111"/>
    </row>
    <row r="887" spans="2:10">
      <c r="B887" s="170"/>
      <c r="C887" s="170"/>
      <c r="D887" s="170"/>
      <c r="E887" s="170"/>
      <c r="F887" s="102"/>
      <c r="G887" s="102"/>
      <c r="H887" s="102"/>
      <c r="I887" s="170"/>
      <c r="J887" s="111"/>
    </row>
    <row r="888" spans="2:10">
      <c r="B888" s="170"/>
      <c r="C888" s="170"/>
      <c r="D888" s="170"/>
      <c r="E888" s="170"/>
      <c r="F888" s="102"/>
      <c r="G888" s="102"/>
      <c r="H888" s="102"/>
      <c r="I888" s="170"/>
      <c r="J888" s="111"/>
    </row>
    <row r="889" spans="2:10">
      <c r="B889" s="170"/>
      <c r="C889" s="170"/>
      <c r="D889" s="170"/>
      <c r="E889" s="170"/>
      <c r="F889" s="102"/>
      <c r="G889" s="102"/>
      <c r="H889" s="102"/>
      <c r="I889" s="170"/>
      <c r="J889" s="111"/>
    </row>
    <row r="890" spans="2:10">
      <c r="B890" s="170"/>
      <c r="C890" s="170"/>
      <c r="D890" s="170"/>
      <c r="E890" s="170"/>
      <c r="F890" s="102"/>
      <c r="G890" s="102"/>
      <c r="H890" s="102"/>
      <c r="I890" s="170"/>
      <c r="J890" s="111"/>
    </row>
    <row r="891" spans="2:10">
      <c r="B891" s="170"/>
      <c r="C891" s="170"/>
      <c r="D891" s="170"/>
      <c r="E891" s="170"/>
      <c r="F891" s="102"/>
      <c r="G891" s="102"/>
      <c r="H891" s="102"/>
      <c r="I891" s="170"/>
      <c r="J891" s="111"/>
    </row>
    <row r="892" spans="2:10">
      <c r="B892" s="170"/>
      <c r="C892" s="170"/>
      <c r="D892" s="170"/>
      <c r="E892" s="170"/>
      <c r="F892" s="102"/>
      <c r="G892" s="102"/>
      <c r="H892" s="102"/>
      <c r="I892" s="170"/>
      <c r="J892" s="111"/>
    </row>
    <row r="893" spans="2:10">
      <c r="B893" s="170"/>
      <c r="C893" s="170"/>
      <c r="D893" s="170"/>
      <c r="E893" s="170"/>
      <c r="F893" s="102"/>
      <c r="G893" s="102"/>
      <c r="H893" s="102"/>
      <c r="I893" s="170"/>
      <c r="J893" s="111"/>
    </row>
    <row r="894" spans="2:10">
      <c r="B894" s="170"/>
      <c r="C894" s="170"/>
      <c r="D894" s="170"/>
      <c r="E894" s="170"/>
      <c r="F894" s="102"/>
      <c r="G894" s="102"/>
      <c r="H894" s="102"/>
      <c r="I894" s="170"/>
      <c r="J894" s="111"/>
    </row>
    <row r="895" spans="2:10">
      <c r="B895" s="170"/>
      <c r="C895" s="170"/>
      <c r="D895" s="170"/>
      <c r="E895" s="170"/>
      <c r="F895" s="102"/>
      <c r="G895" s="102"/>
      <c r="H895" s="102"/>
      <c r="I895" s="170"/>
      <c r="J895" s="111"/>
    </row>
    <row r="896" spans="2:10">
      <c r="B896" s="170"/>
      <c r="C896" s="170"/>
      <c r="D896" s="170"/>
      <c r="E896" s="170"/>
      <c r="F896" s="102"/>
      <c r="G896" s="102"/>
      <c r="H896" s="102"/>
      <c r="I896" s="170"/>
      <c r="J896" s="111"/>
    </row>
    <row r="897" spans="2:10">
      <c r="B897" s="170"/>
      <c r="C897" s="170"/>
      <c r="D897" s="170"/>
      <c r="E897" s="170"/>
      <c r="F897" s="102"/>
      <c r="G897" s="102"/>
      <c r="H897" s="102"/>
      <c r="I897" s="170"/>
      <c r="J897" s="111"/>
    </row>
    <row r="898" spans="2:10">
      <c r="B898" s="170"/>
      <c r="C898" s="170"/>
      <c r="D898" s="170"/>
      <c r="E898" s="170"/>
      <c r="F898" s="102"/>
      <c r="G898" s="102"/>
      <c r="H898" s="102"/>
      <c r="I898" s="170"/>
      <c r="J898" s="111"/>
    </row>
    <row r="899" spans="2:10">
      <c r="B899" s="170"/>
      <c r="C899" s="170"/>
      <c r="D899" s="170"/>
      <c r="E899" s="170"/>
      <c r="F899" s="102"/>
      <c r="G899" s="102"/>
      <c r="H899" s="102"/>
      <c r="I899" s="170"/>
      <c r="J899" s="111"/>
    </row>
    <row r="900" spans="2:10">
      <c r="B900" s="170"/>
      <c r="C900" s="170"/>
      <c r="D900" s="170"/>
      <c r="E900" s="170"/>
      <c r="F900" s="102"/>
      <c r="G900" s="102"/>
      <c r="H900" s="102"/>
      <c r="I900" s="170"/>
      <c r="J900" s="111"/>
    </row>
    <row r="901" spans="2:10">
      <c r="B901" s="170"/>
      <c r="C901" s="170"/>
      <c r="D901" s="170"/>
      <c r="E901" s="170"/>
      <c r="F901" s="102"/>
      <c r="G901" s="102"/>
      <c r="H901" s="102"/>
      <c r="I901" s="170"/>
      <c r="J901" s="111"/>
    </row>
    <row r="902" spans="2:10">
      <c r="B902" s="170"/>
      <c r="C902" s="170"/>
      <c r="D902" s="170"/>
      <c r="E902" s="170"/>
      <c r="F902" s="102"/>
      <c r="G902" s="102"/>
      <c r="H902" s="102"/>
      <c r="I902" s="170"/>
      <c r="J902" s="111"/>
    </row>
    <row r="903" spans="2:10">
      <c r="B903" s="170"/>
      <c r="C903" s="170"/>
      <c r="D903" s="170"/>
      <c r="E903" s="170"/>
      <c r="F903" s="102"/>
      <c r="G903" s="102"/>
      <c r="H903" s="102"/>
      <c r="I903" s="170"/>
      <c r="J903" s="111"/>
    </row>
    <row r="904" spans="2:10">
      <c r="B904" s="170"/>
      <c r="C904" s="170"/>
      <c r="D904" s="170"/>
      <c r="E904" s="170"/>
      <c r="F904" s="102"/>
      <c r="G904" s="102"/>
      <c r="H904" s="102"/>
      <c r="I904" s="170"/>
      <c r="J904" s="111"/>
    </row>
    <row r="905" spans="2:10">
      <c r="B905" s="170"/>
      <c r="C905" s="170"/>
      <c r="D905" s="170"/>
      <c r="E905" s="170"/>
      <c r="F905" s="102"/>
      <c r="G905" s="102"/>
      <c r="H905" s="102"/>
      <c r="I905" s="170"/>
      <c r="J905" s="111"/>
    </row>
    <row r="906" spans="2:10">
      <c r="B906" s="170"/>
      <c r="C906" s="170"/>
      <c r="D906" s="170"/>
      <c r="E906" s="170"/>
      <c r="F906" s="102"/>
      <c r="G906" s="102"/>
      <c r="H906" s="102"/>
      <c r="I906" s="170"/>
      <c r="J906" s="111"/>
    </row>
    <row r="907" spans="2:10">
      <c r="B907" s="170"/>
      <c r="C907" s="170"/>
      <c r="D907" s="170"/>
      <c r="E907" s="170"/>
      <c r="F907" s="102"/>
      <c r="G907" s="102"/>
      <c r="H907" s="102"/>
      <c r="I907" s="170"/>
      <c r="J907" s="111"/>
    </row>
    <row r="908" spans="2:10">
      <c r="B908" s="170"/>
      <c r="C908" s="170"/>
      <c r="D908" s="170"/>
      <c r="E908" s="170"/>
      <c r="F908" s="102"/>
      <c r="G908" s="102"/>
      <c r="H908" s="102"/>
      <c r="I908" s="170"/>
      <c r="J908" s="111"/>
    </row>
    <row r="909" spans="2:10">
      <c r="B909" s="170"/>
      <c r="C909" s="170"/>
      <c r="D909" s="170"/>
      <c r="E909" s="170"/>
      <c r="F909" s="102"/>
      <c r="G909" s="102"/>
      <c r="H909" s="102"/>
      <c r="I909" s="170"/>
      <c r="J909" s="111"/>
    </row>
    <row r="910" spans="2:10">
      <c r="B910" s="170"/>
      <c r="C910" s="170"/>
      <c r="D910" s="170"/>
      <c r="E910" s="170"/>
      <c r="F910" s="102"/>
      <c r="G910" s="102"/>
      <c r="H910" s="102"/>
      <c r="I910" s="170"/>
      <c r="J910" s="111"/>
    </row>
    <row r="911" spans="2:10">
      <c r="B911" s="170"/>
      <c r="C911" s="170"/>
      <c r="D911" s="170"/>
      <c r="E911" s="170"/>
      <c r="F911" s="102"/>
      <c r="G911" s="102"/>
      <c r="H911" s="102"/>
      <c r="I911" s="170"/>
      <c r="J911" s="111"/>
    </row>
    <row r="912" spans="2:10">
      <c r="B912" s="170"/>
      <c r="C912" s="170"/>
      <c r="D912" s="170"/>
      <c r="E912" s="170"/>
      <c r="F912" s="102"/>
      <c r="G912" s="102"/>
      <c r="H912" s="102"/>
      <c r="I912" s="170"/>
      <c r="J912" s="111"/>
    </row>
    <row r="913" spans="2:10">
      <c r="B913" s="170"/>
      <c r="C913" s="170"/>
      <c r="D913" s="170"/>
      <c r="E913" s="170"/>
      <c r="F913" s="102"/>
      <c r="G913" s="102"/>
      <c r="H913" s="102"/>
      <c r="I913" s="170"/>
      <c r="J913" s="111"/>
    </row>
    <row r="914" spans="2:10">
      <c r="B914" s="170"/>
      <c r="C914" s="170"/>
      <c r="D914" s="170"/>
      <c r="E914" s="170"/>
      <c r="F914" s="102"/>
      <c r="G914" s="102"/>
      <c r="H914" s="102"/>
      <c r="I914" s="170"/>
      <c r="J914" s="111"/>
    </row>
    <row r="915" spans="2:10">
      <c r="B915" s="170"/>
      <c r="C915" s="170"/>
      <c r="D915" s="170"/>
      <c r="E915" s="170"/>
      <c r="F915" s="102"/>
      <c r="G915" s="102"/>
      <c r="H915" s="102"/>
      <c r="I915" s="170"/>
      <c r="J915" s="111"/>
    </row>
    <row r="916" spans="2:10">
      <c r="B916" s="170"/>
      <c r="C916" s="170"/>
      <c r="D916" s="170"/>
      <c r="E916" s="170"/>
      <c r="F916" s="102"/>
      <c r="G916" s="102"/>
      <c r="H916" s="102"/>
      <c r="I916" s="170"/>
      <c r="J916" s="111"/>
    </row>
    <row r="917" spans="2:10">
      <c r="B917" s="170"/>
      <c r="C917" s="170"/>
      <c r="D917" s="170"/>
      <c r="E917" s="170"/>
      <c r="F917" s="102"/>
      <c r="G917" s="102"/>
      <c r="H917" s="102"/>
      <c r="I917" s="170"/>
      <c r="J917" s="111"/>
    </row>
    <row r="918" spans="2:10">
      <c r="B918" s="170"/>
      <c r="C918" s="170"/>
      <c r="D918" s="170"/>
      <c r="E918" s="170"/>
      <c r="F918" s="102"/>
      <c r="G918" s="102"/>
      <c r="H918" s="102"/>
      <c r="I918" s="170"/>
      <c r="J918" s="111"/>
    </row>
    <row r="919" spans="2:10">
      <c r="B919" s="170"/>
      <c r="C919" s="170"/>
      <c r="D919" s="170"/>
      <c r="E919" s="170"/>
      <c r="F919" s="102"/>
      <c r="G919" s="102"/>
      <c r="H919" s="102"/>
      <c r="I919" s="170"/>
      <c r="J919" s="111"/>
    </row>
    <row r="920" spans="2:10">
      <c r="B920" s="170"/>
      <c r="C920" s="170"/>
      <c r="D920" s="170"/>
      <c r="E920" s="170"/>
      <c r="F920" s="102"/>
      <c r="G920" s="102"/>
      <c r="H920" s="102"/>
      <c r="I920" s="170"/>
      <c r="J920" s="111"/>
    </row>
    <row r="921" spans="2:10">
      <c r="B921" s="170"/>
      <c r="C921" s="170"/>
      <c r="D921" s="170"/>
      <c r="E921" s="170"/>
      <c r="F921" s="102"/>
      <c r="G921" s="102"/>
      <c r="H921" s="102"/>
      <c r="I921" s="170"/>
      <c r="J921" s="111"/>
    </row>
    <row r="922" spans="2:10">
      <c r="B922" s="170"/>
      <c r="C922" s="170"/>
      <c r="D922" s="170"/>
      <c r="E922" s="170"/>
      <c r="F922" s="102"/>
      <c r="G922" s="102"/>
      <c r="H922" s="102"/>
      <c r="I922" s="170"/>
      <c r="J922" s="111"/>
    </row>
    <row r="923" spans="2:10">
      <c r="B923" s="170"/>
      <c r="C923" s="170"/>
      <c r="D923" s="170"/>
      <c r="E923" s="170"/>
      <c r="F923" s="102"/>
      <c r="G923" s="102"/>
      <c r="H923" s="102"/>
      <c r="I923" s="170"/>
      <c r="J923" s="111"/>
    </row>
    <row r="924" spans="2:10">
      <c r="B924" s="170"/>
      <c r="C924" s="170"/>
      <c r="D924" s="170"/>
      <c r="E924" s="170"/>
      <c r="F924" s="102"/>
      <c r="G924" s="102"/>
      <c r="H924" s="102"/>
      <c r="I924" s="170"/>
      <c r="J924" s="111"/>
    </row>
    <row r="925" spans="2:10">
      <c r="B925" s="170"/>
      <c r="C925" s="170"/>
      <c r="D925" s="170"/>
      <c r="E925" s="170"/>
      <c r="F925" s="102"/>
      <c r="G925" s="102"/>
      <c r="H925" s="102"/>
      <c r="I925" s="170"/>
      <c r="J925" s="111"/>
    </row>
    <row r="926" spans="2:10">
      <c r="B926" s="170"/>
      <c r="C926" s="170"/>
      <c r="D926" s="170"/>
      <c r="E926" s="170"/>
      <c r="F926" s="102"/>
      <c r="G926" s="102"/>
      <c r="H926" s="102"/>
      <c r="I926" s="170"/>
      <c r="J926" s="111"/>
    </row>
    <row r="927" spans="2:10">
      <c r="B927" s="170"/>
      <c r="C927" s="170"/>
      <c r="D927" s="170"/>
      <c r="E927" s="170"/>
      <c r="F927" s="102"/>
      <c r="G927" s="102"/>
      <c r="H927" s="102"/>
      <c r="I927" s="170"/>
      <c r="J927" s="111"/>
    </row>
    <row r="928" spans="2:10">
      <c r="B928" s="170"/>
      <c r="C928" s="170"/>
      <c r="D928" s="170"/>
      <c r="E928" s="170"/>
      <c r="F928" s="102"/>
      <c r="G928" s="102"/>
      <c r="H928" s="102"/>
      <c r="I928" s="170"/>
      <c r="J928" s="111"/>
    </row>
    <row r="929" spans="2:10">
      <c r="B929" s="170"/>
      <c r="C929" s="170"/>
      <c r="D929" s="170"/>
      <c r="E929" s="170"/>
      <c r="F929" s="102"/>
      <c r="G929" s="102"/>
      <c r="H929" s="102"/>
      <c r="I929" s="170"/>
      <c r="J929" s="111"/>
    </row>
    <row r="930" spans="2:10">
      <c r="B930" s="170"/>
      <c r="C930" s="170"/>
      <c r="D930" s="170"/>
      <c r="E930" s="170"/>
      <c r="F930" s="102"/>
      <c r="G930" s="102"/>
      <c r="H930" s="102"/>
      <c r="I930" s="170"/>
      <c r="J930" s="111"/>
    </row>
    <row r="931" spans="2:10">
      <c r="B931" s="170"/>
      <c r="C931" s="170"/>
      <c r="D931" s="170"/>
      <c r="E931" s="170"/>
      <c r="F931" s="102"/>
      <c r="G931" s="102"/>
      <c r="H931" s="102"/>
      <c r="I931" s="170"/>
      <c r="J931" s="111"/>
    </row>
    <row r="932" spans="2:10">
      <c r="B932" s="170"/>
      <c r="C932" s="170"/>
      <c r="D932" s="170"/>
      <c r="E932" s="170"/>
      <c r="F932" s="102"/>
      <c r="G932" s="102"/>
      <c r="H932" s="102"/>
      <c r="I932" s="170"/>
      <c r="J932" s="111"/>
    </row>
    <row r="933" spans="2:10">
      <c r="B933" s="170"/>
      <c r="C933" s="170"/>
      <c r="D933" s="170"/>
      <c r="E933" s="170"/>
      <c r="F933" s="102"/>
      <c r="G933" s="102"/>
      <c r="H933" s="102"/>
      <c r="I933" s="170"/>
      <c r="J933" s="111"/>
    </row>
    <row r="934" spans="2:10">
      <c r="B934" s="170"/>
      <c r="C934" s="170"/>
      <c r="D934" s="170"/>
      <c r="E934" s="170"/>
      <c r="F934" s="102"/>
      <c r="G934" s="102"/>
      <c r="H934" s="102"/>
      <c r="I934" s="170"/>
      <c r="J934" s="111"/>
    </row>
    <row r="935" spans="2:10">
      <c r="B935" s="170"/>
      <c r="C935" s="170"/>
      <c r="D935" s="170"/>
      <c r="E935" s="170"/>
      <c r="F935" s="102"/>
      <c r="G935" s="102"/>
      <c r="H935" s="102"/>
      <c r="I935" s="170"/>
      <c r="J935" s="111"/>
    </row>
    <row r="936" spans="2:10">
      <c r="B936" s="170"/>
      <c r="C936" s="170"/>
      <c r="D936" s="170"/>
      <c r="E936" s="170"/>
      <c r="F936" s="102"/>
      <c r="G936" s="102"/>
      <c r="H936" s="102"/>
      <c r="I936" s="170"/>
      <c r="J936" s="111"/>
    </row>
    <row r="937" spans="2:10">
      <c r="B937" s="170"/>
      <c r="C937" s="170"/>
      <c r="D937" s="170"/>
      <c r="E937" s="170"/>
      <c r="F937" s="102"/>
      <c r="G937" s="102"/>
      <c r="H937" s="102"/>
      <c r="I937" s="170"/>
      <c r="J937" s="111"/>
    </row>
    <row r="938" spans="2:10">
      <c r="B938" s="170"/>
      <c r="C938" s="170"/>
      <c r="D938" s="170"/>
      <c r="E938" s="170"/>
      <c r="F938" s="102"/>
      <c r="G938" s="102"/>
      <c r="H938" s="102"/>
      <c r="I938" s="170"/>
      <c r="J938" s="111"/>
    </row>
    <row r="939" spans="2:10">
      <c r="B939" s="170"/>
      <c r="C939" s="170"/>
      <c r="D939" s="170"/>
      <c r="E939" s="170"/>
      <c r="F939" s="102"/>
      <c r="G939" s="102"/>
      <c r="H939" s="102"/>
      <c r="I939" s="170"/>
      <c r="J939" s="111"/>
    </row>
    <row r="940" spans="2:10">
      <c r="B940" s="170"/>
      <c r="C940" s="170"/>
      <c r="D940" s="170"/>
      <c r="E940" s="170"/>
      <c r="F940" s="102"/>
      <c r="G940" s="102"/>
      <c r="H940" s="102"/>
      <c r="I940" s="170"/>
      <c r="J940" s="111"/>
    </row>
    <row r="941" spans="2:10">
      <c r="B941" s="170"/>
      <c r="C941" s="170"/>
      <c r="D941" s="170"/>
      <c r="E941" s="170"/>
      <c r="F941" s="102"/>
      <c r="G941" s="102"/>
      <c r="H941" s="102"/>
      <c r="I941" s="170"/>
      <c r="J941" s="111"/>
    </row>
    <row r="942" spans="2:10">
      <c r="B942" s="170"/>
      <c r="C942" s="170"/>
      <c r="D942" s="170"/>
      <c r="E942" s="170"/>
      <c r="F942" s="102"/>
      <c r="G942" s="102"/>
      <c r="H942" s="102"/>
      <c r="I942" s="170"/>
      <c r="J942" s="111"/>
    </row>
    <row r="943" spans="2:10">
      <c r="B943" s="170"/>
      <c r="C943" s="170"/>
      <c r="D943" s="170"/>
      <c r="E943" s="170"/>
      <c r="F943" s="102"/>
      <c r="G943" s="102"/>
      <c r="H943" s="102"/>
      <c r="I943" s="170"/>
      <c r="J943" s="111"/>
    </row>
    <row r="944" spans="2:10">
      <c r="B944" s="170"/>
      <c r="C944" s="170"/>
      <c r="D944" s="170"/>
      <c r="E944" s="170"/>
      <c r="F944" s="102"/>
      <c r="G944" s="102"/>
      <c r="H944" s="102"/>
      <c r="I944" s="170"/>
      <c r="J944" s="111"/>
    </row>
    <row r="945" spans="2:10">
      <c r="B945" s="170"/>
      <c r="C945" s="170"/>
      <c r="D945" s="170"/>
      <c r="E945" s="170"/>
      <c r="F945" s="102"/>
      <c r="G945" s="102"/>
      <c r="H945" s="102"/>
      <c r="I945" s="170"/>
      <c r="J945" s="111"/>
    </row>
    <row r="946" spans="2:10">
      <c r="B946" s="170"/>
      <c r="C946" s="170"/>
      <c r="D946" s="170"/>
      <c r="E946" s="170"/>
      <c r="F946" s="102"/>
      <c r="G946" s="102"/>
      <c r="H946" s="102"/>
      <c r="I946" s="170"/>
      <c r="J946" s="111"/>
    </row>
    <row r="947" spans="2:10">
      <c r="B947" s="170"/>
      <c r="C947" s="170"/>
      <c r="D947" s="170"/>
      <c r="E947" s="170"/>
      <c r="F947" s="102"/>
      <c r="G947" s="102"/>
      <c r="H947" s="102"/>
      <c r="I947" s="170"/>
      <c r="J947" s="111"/>
    </row>
    <row r="948" spans="2:10">
      <c r="B948" s="170"/>
      <c r="C948" s="170"/>
      <c r="D948" s="170"/>
      <c r="E948" s="170"/>
      <c r="F948" s="102"/>
      <c r="G948" s="102"/>
      <c r="H948" s="102"/>
      <c r="I948" s="170"/>
      <c r="J948" s="111"/>
    </row>
    <row r="949" spans="2:10">
      <c r="B949" s="170"/>
      <c r="C949" s="170"/>
      <c r="D949" s="170"/>
      <c r="E949" s="170"/>
      <c r="F949" s="102"/>
      <c r="G949" s="102"/>
      <c r="H949" s="102"/>
      <c r="I949" s="170"/>
      <c r="J949" s="111"/>
    </row>
    <row r="950" spans="2:10">
      <c r="B950" s="170"/>
      <c r="C950" s="170"/>
      <c r="D950" s="170"/>
      <c r="E950" s="170"/>
      <c r="F950" s="102"/>
      <c r="G950" s="102"/>
      <c r="H950" s="102"/>
      <c r="I950" s="170"/>
      <c r="J950" s="111"/>
    </row>
  </sheetData>
  <mergeCells count="4">
    <mergeCell ref="B2:J8"/>
    <mergeCell ref="B14:J14"/>
    <mergeCell ref="B15:J15"/>
    <mergeCell ref="B16:J16"/>
  </mergeCells>
  <conditionalFormatting sqref="J18">
    <cfRule type="cellIs" dxfId="5" priority="1" operator="greaterThan">
      <formula>0</formula>
    </cfRule>
  </conditionalFormatting>
  <pageMargins left="0.51181102362204722" right="0.51181102362204722" top="0.78740157480314965" bottom="0.78740157480314965" header="0.31496062992125984" footer="0.31496062992125984"/>
  <pageSetup paperSize="9" scale="45" fitToHeight="1000" orientation="portrait" r:id="rId1"/>
  <rowBreaks count="1" manualBreakCount="1">
    <brk id="202" min="1" max="9" man="1"/>
  </rowBreaks>
  <drawing r:id="rId2"/>
  <legacyDrawing r:id="rId3"/>
  <oleObjects>
    <mc:AlternateContent xmlns:mc="http://schemas.openxmlformats.org/markup-compatibility/2006">
      <mc:Choice Requires="x14">
        <oleObject shapeId="2" r:id="rId4">
          <objectPr defaultSize="0" autoPict="0" r:id="rId5">
            <anchor moveWithCells="1" sizeWithCells="1">
              <from>
                <xdr:col>1</xdr:col>
                <xdr:colOff>114300</xdr:colOff>
                <xdr:row>1</xdr:row>
                <xdr:rowOff>85725</xdr:rowOff>
              </from>
              <to>
                <xdr:col>2</xdr:col>
                <xdr:colOff>200025</xdr:colOff>
                <xdr:row>7</xdr:row>
                <xdr:rowOff>85725</xdr:rowOff>
              </to>
            </anchor>
          </objectPr>
        </oleObject>
      </mc:Choice>
      <mc:Fallback>
        <oleObject shapeId="13313" r:id="rId4"/>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59999389629810485"/>
  </sheetPr>
  <dimension ref="A1:AS1370"/>
  <sheetViews>
    <sheetView view="pageBreakPreview" zoomScale="60" zoomScaleNormal="85" workbookViewId="0">
      <selection activeCell="C24" sqref="C24"/>
    </sheetView>
  </sheetViews>
  <sheetFormatPr defaultRowHeight="12.75"/>
  <cols>
    <col min="1" max="1" width="3.140625" style="417" customWidth="1"/>
    <col min="2" max="2" width="12" style="417" customWidth="1"/>
    <col min="3" max="3" width="66.5703125" style="417" customWidth="1"/>
    <col min="4" max="4" width="9.7109375" style="417" customWidth="1"/>
    <col min="5" max="5" width="11.7109375" style="417" bestFit="1" customWidth="1"/>
    <col min="6" max="6" width="13.140625" style="418" customWidth="1"/>
    <col min="7" max="7" width="9.140625" style="417"/>
    <col min="8" max="8" width="9.140625" style="417" customWidth="1"/>
    <col min="9" max="9" width="47.85546875" style="417" customWidth="1"/>
    <col min="10" max="10" width="12.140625" style="417" customWidth="1"/>
    <col min="11" max="16384" width="9.140625" style="417"/>
  </cols>
  <sheetData>
    <row r="1" spans="2:45" ht="13.5" thickBot="1"/>
    <row r="2" spans="2:45" ht="12.75" customHeight="1">
      <c r="B2" s="673" t="s">
        <v>0</v>
      </c>
      <c r="C2" s="760"/>
      <c r="D2" s="760"/>
      <c r="E2" s="760"/>
      <c r="F2" s="760"/>
      <c r="G2" s="760"/>
      <c r="H2" s="760"/>
      <c r="I2" s="760"/>
      <c r="J2" s="761"/>
      <c r="K2" s="538"/>
      <c r="L2" s="538"/>
      <c r="M2" s="538"/>
      <c r="N2" s="538"/>
      <c r="O2" s="538"/>
      <c r="P2" s="538"/>
      <c r="Q2" s="538"/>
      <c r="R2" s="538"/>
      <c r="S2" s="538"/>
      <c r="T2" s="538"/>
      <c r="U2" s="538"/>
      <c r="V2" s="538"/>
      <c r="W2" s="538"/>
      <c r="X2" s="538"/>
      <c r="Y2" s="538"/>
      <c r="Z2" s="538"/>
      <c r="AA2" s="538"/>
      <c r="AB2" s="538"/>
      <c r="AC2" s="538"/>
      <c r="AD2" s="538"/>
      <c r="AE2" s="538"/>
      <c r="AF2" s="538"/>
      <c r="AG2" s="538"/>
      <c r="AH2" s="538"/>
      <c r="AI2" s="538"/>
      <c r="AJ2" s="538"/>
      <c r="AK2" s="538"/>
      <c r="AL2" s="538"/>
      <c r="AM2" s="538"/>
      <c r="AN2" s="538"/>
      <c r="AO2" s="538"/>
      <c r="AP2" s="538"/>
      <c r="AQ2" s="538"/>
      <c r="AR2" s="538"/>
      <c r="AS2" s="538"/>
    </row>
    <row r="3" spans="2:45" s="535" customFormat="1" ht="15" customHeight="1">
      <c r="B3" s="758"/>
      <c r="C3" s="759"/>
      <c r="D3" s="759"/>
      <c r="E3" s="759"/>
      <c r="F3" s="759"/>
      <c r="G3" s="759"/>
      <c r="H3" s="759"/>
      <c r="I3" s="759"/>
      <c r="J3" s="762"/>
    </row>
    <row r="4" spans="2:45" s="535" customFormat="1" ht="15" customHeight="1">
      <c r="B4" s="758"/>
      <c r="C4" s="759"/>
      <c r="D4" s="759"/>
      <c r="E4" s="759"/>
      <c r="F4" s="759"/>
      <c r="G4" s="759"/>
      <c r="H4" s="759"/>
      <c r="I4" s="759"/>
      <c r="J4" s="762"/>
    </row>
    <row r="5" spans="2:45" s="535" customFormat="1" ht="15" customHeight="1">
      <c r="B5" s="758"/>
      <c r="C5" s="759"/>
      <c r="D5" s="759"/>
      <c r="E5" s="759"/>
      <c r="F5" s="759"/>
      <c r="G5" s="759"/>
      <c r="H5" s="759"/>
      <c r="I5" s="759"/>
      <c r="J5" s="762"/>
    </row>
    <row r="6" spans="2:45" s="535" customFormat="1" ht="15" customHeight="1">
      <c r="B6" s="758"/>
      <c r="C6" s="759"/>
      <c r="D6" s="759"/>
      <c r="E6" s="759"/>
      <c r="F6" s="759"/>
      <c r="G6" s="759"/>
      <c r="H6" s="759"/>
      <c r="I6" s="759"/>
      <c r="J6" s="762"/>
    </row>
    <row r="7" spans="2:45" ht="15" customHeight="1">
      <c r="B7" s="758"/>
      <c r="C7" s="759"/>
      <c r="D7" s="759"/>
      <c r="E7" s="759"/>
      <c r="F7" s="759"/>
      <c r="G7" s="759"/>
      <c r="H7" s="759"/>
      <c r="I7" s="759"/>
      <c r="J7" s="762"/>
      <c r="K7" s="538"/>
      <c r="L7" s="538"/>
      <c r="M7" s="538"/>
      <c r="N7" s="538"/>
      <c r="O7" s="538"/>
      <c r="P7" s="538"/>
      <c r="Q7" s="538"/>
      <c r="R7" s="538"/>
      <c r="S7" s="538"/>
      <c r="T7" s="538"/>
      <c r="U7" s="538"/>
      <c r="V7" s="538"/>
      <c r="W7" s="538"/>
      <c r="X7" s="538"/>
      <c r="Y7" s="538"/>
      <c r="Z7" s="538"/>
      <c r="AA7" s="538"/>
      <c r="AB7" s="538"/>
      <c r="AC7" s="538"/>
      <c r="AD7" s="538"/>
      <c r="AE7" s="538"/>
      <c r="AF7" s="538"/>
      <c r="AG7" s="538"/>
      <c r="AH7" s="538"/>
      <c r="AI7" s="538"/>
      <c r="AJ7" s="538"/>
      <c r="AK7" s="538"/>
      <c r="AL7" s="538"/>
      <c r="AM7" s="538"/>
      <c r="AN7" s="538"/>
      <c r="AO7" s="538"/>
      <c r="AP7" s="538"/>
      <c r="AQ7" s="538"/>
      <c r="AR7" s="538"/>
      <c r="AS7" s="538"/>
    </row>
    <row r="8" spans="2:45" ht="15" customHeight="1" thickBot="1">
      <c r="B8" s="763"/>
      <c r="C8" s="764"/>
      <c r="D8" s="764"/>
      <c r="E8" s="764"/>
      <c r="F8" s="764"/>
      <c r="G8" s="764"/>
      <c r="H8" s="764"/>
      <c r="I8" s="764"/>
      <c r="J8" s="765"/>
      <c r="K8" s="538"/>
      <c r="L8" s="538"/>
      <c r="M8" s="538"/>
      <c r="N8" s="538"/>
      <c r="O8" s="538"/>
      <c r="P8" s="538"/>
      <c r="Q8" s="538"/>
      <c r="R8" s="538"/>
      <c r="S8" s="538"/>
      <c r="T8" s="538"/>
      <c r="U8" s="538"/>
      <c r="V8" s="538"/>
      <c r="W8" s="538"/>
      <c r="X8" s="538"/>
      <c r="Y8" s="538"/>
      <c r="Z8" s="538"/>
      <c r="AA8" s="538"/>
      <c r="AB8" s="538"/>
      <c r="AC8" s="538"/>
      <c r="AD8" s="538"/>
      <c r="AE8" s="538"/>
      <c r="AF8" s="538"/>
      <c r="AG8" s="538"/>
      <c r="AH8" s="538"/>
      <c r="AI8" s="538"/>
      <c r="AJ8" s="538"/>
      <c r="AK8" s="538"/>
      <c r="AL8" s="538"/>
      <c r="AM8" s="538"/>
      <c r="AN8" s="538"/>
      <c r="AO8" s="538"/>
      <c r="AP8" s="538"/>
      <c r="AQ8" s="538"/>
      <c r="AR8" s="538"/>
      <c r="AS8" s="538"/>
    </row>
    <row r="9" spans="2:45" ht="13.5" thickBot="1">
      <c r="B9" s="540"/>
      <c r="C9" s="540"/>
      <c r="D9" s="540"/>
      <c r="E9" s="540"/>
      <c r="F9" s="539"/>
      <c r="G9" s="538"/>
      <c r="H9" s="538"/>
      <c r="I9" s="538"/>
      <c r="J9" s="538"/>
      <c r="K9" s="538"/>
      <c r="L9" s="538"/>
      <c r="M9" s="538"/>
      <c r="N9" s="538"/>
      <c r="O9" s="538"/>
      <c r="P9" s="538"/>
      <c r="Q9" s="538"/>
      <c r="R9" s="538"/>
      <c r="S9" s="538"/>
      <c r="T9" s="538"/>
      <c r="U9" s="538"/>
      <c r="V9" s="538"/>
      <c r="W9" s="538"/>
      <c r="X9" s="538"/>
      <c r="Y9" s="538"/>
      <c r="Z9" s="538"/>
      <c r="AA9" s="538"/>
      <c r="AB9" s="538"/>
      <c r="AC9" s="538"/>
      <c r="AD9" s="538"/>
      <c r="AE9" s="538"/>
      <c r="AF9" s="538"/>
      <c r="AG9" s="538"/>
      <c r="AH9" s="538"/>
      <c r="AI9" s="538"/>
      <c r="AJ9" s="538"/>
      <c r="AK9" s="538"/>
      <c r="AL9" s="538"/>
      <c r="AM9" s="538"/>
      <c r="AN9" s="538"/>
      <c r="AO9" s="538"/>
      <c r="AP9" s="538"/>
      <c r="AQ9" s="538"/>
      <c r="AR9" s="538"/>
      <c r="AS9" s="538"/>
    </row>
    <row r="10" spans="2:45" s="535" customFormat="1" ht="15" customHeight="1" thickBot="1">
      <c r="B10" s="766" t="s">
        <v>1956</v>
      </c>
      <c r="C10" s="767"/>
      <c r="D10" s="767"/>
      <c r="E10" s="767"/>
      <c r="F10" s="767"/>
      <c r="G10" s="767"/>
      <c r="H10" s="767"/>
      <c r="I10" s="767"/>
      <c r="J10" s="768"/>
    </row>
    <row r="11" spans="2:45" s="535" customFormat="1" ht="13.5" thickBot="1">
      <c r="B11" s="766" t="s">
        <v>488</v>
      </c>
      <c r="C11" s="767"/>
      <c r="D11" s="767"/>
      <c r="E11" s="767"/>
      <c r="F11" s="767"/>
      <c r="G11" s="767"/>
      <c r="H11" s="767"/>
      <c r="I11" s="767"/>
      <c r="J11" s="768"/>
    </row>
    <row r="12" spans="2:45" s="535" customFormat="1" ht="15.75" customHeight="1" thickBot="1">
      <c r="B12" s="766" t="s">
        <v>489</v>
      </c>
      <c r="C12" s="767"/>
      <c r="D12" s="767"/>
      <c r="E12" s="767"/>
      <c r="F12" s="767"/>
      <c r="G12" s="767"/>
      <c r="H12" s="767"/>
      <c r="I12" s="767"/>
      <c r="J12" s="768"/>
    </row>
    <row r="13" spans="2:45" s="535" customFormat="1" ht="13.5" thickBot="1">
      <c r="B13" s="537"/>
      <c r="C13" s="537"/>
      <c r="D13" s="537"/>
      <c r="E13" s="537"/>
      <c r="F13" s="536"/>
    </row>
    <row r="14" spans="2:45" s="535" customFormat="1" ht="16.5" thickBot="1">
      <c r="B14" s="674" t="s">
        <v>526</v>
      </c>
      <c r="C14" s="675"/>
      <c r="D14" s="675"/>
      <c r="E14" s="675"/>
      <c r="F14" s="675"/>
      <c r="G14" s="675"/>
      <c r="H14" s="675"/>
      <c r="I14" s="675"/>
      <c r="J14" s="676"/>
    </row>
    <row r="15" spans="2:45" s="535" customFormat="1" ht="15">
      <c r="B15" s="677" t="s">
        <v>1713</v>
      </c>
      <c r="C15" s="677"/>
      <c r="D15" s="677"/>
      <c r="E15" s="677"/>
      <c r="F15" s="677"/>
    </row>
    <row r="16" spans="2:45" s="535" customFormat="1" ht="15.75" thickBot="1">
      <c r="B16" s="677" t="s">
        <v>8</v>
      </c>
      <c r="C16" s="677"/>
      <c r="D16" s="677"/>
      <c r="E16" s="677"/>
      <c r="F16" s="677"/>
    </row>
    <row r="17" spans="1:10" s="223" customFormat="1" ht="13.5" thickBot="1">
      <c r="A17" s="530"/>
      <c r="B17" s="534" t="s">
        <v>527</v>
      </c>
      <c r="C17" s="532" t="s">
        <v>528</v>
      </c>
      <c r="D17" s="532" t="s">
        <v>529</v>
      </c>
      <c r="E17" s="532" t="s">
        <v>530</v>
      </c>
      <c r="F17" s="533" t="s">
        <v>531</v>
      </c>
      <c r="G17" s="533" t="s">
        <v>21</v>
      </c>
      <c r="H17" s="533" t="s">
        <v>532</v>
      </c>
      <c r="I17" s="532" t="s">
        <v>533</v>
      </c>
      <c r="J17" s="531" t="s">
        <v>534</v>
      </c>
    </row>
    <row r="18" spans="1:10">
      <c r="A18" s="530"/>
      <c r="B18" s="529"/>
      <c r="C18" s="528"/>
      <c r="D18" s="528"/>
      <c r="E18" s="528"/>
      <c r="F18" s="527"/>
      <c r="G18" s="527"/>
      <c r="H18" s="527"/>
      <c r="I18" s="526"/>
      <c r="J18" s="525"/>
    </row>
    <row r="19" spans="1:10" s="460" customFormat="1" ht="15">
      <c r="A19" s="524"/>
      <c r="B19" s="434">
        <v>1</v>
      </c>
      <c r="C19" s="523" t="s">
        <v>22</v>
      </c>
      <c r="D19" s="523"/>
      <c r="E19" s="523"/>
      <c r="F19" s="522"/>
      <c r="G19" s="522"/>
      <c r="H19" s="522"/>
      <c r="I19" s="521"/>
      <c r="J19" s="520"/>
    </row>
    <row r="20" spans="1:10" s="444" customFormat="1" ht="15">
      <c r="A20" s="511"/>
      <c r="B20" s="448" t="s">
        <v>535</v>
      </c>
      <c r="C20" s="519" t="s">
        <v>1955</v>
      </c>
      <c r="D20" s="436" t="s">
        <v>23</v>
      </c>
      <c r="E20" s="278">
        <v>1</v>
      </c>
      <c r="F20" s="510"/>
      <c r="G20" s="510"/>
      <c r="H20" s="510"/>
      <c r="I20" s="518"/>
      <c r="J20" s="517">
        <f>E20</f>
        <v>1</v>
      </c>
    </row>
    <row r="21" spans="1:10" s="444" customFormat="1" ht="15">
      <c r="A21" s="511"/>
      <c r="B21" s="448"/>
      <c r="C21" s="278"/>
      <c r="D21" s="436"/>
      <c r="E21" s="278"/>
      <c r="F21" s="510"/>
      <c r="G21" s="510"/>
      <c r="H21" s="510"/>
      <c r="I21" s="509"/>
      <c r="J21" s="508"/>
    </row>
    <row r="22" spans="1:10" s="444" customFormat="1" ht="15">
      <c r="A22" s="511"/>
      <c r="B22" s="454">
        <v>2</v>
      </c>
      <c r="C22" s="516" t="s">
        <v>540</v>
      </c>
      <c r="D22" s="516"/>
      <c r="E22" s="516"/>
      <c r="F22" s="510"/>
      <c r="G22" s="510"/>
      <c r="H22" s="510"/>
      <c r="I22" s="509"/>
      <c r="J22" s="508"/>
    </row>
    <row r="23" spans="1:10" s="449" customFormat="1" ht="15">
      <c r="A23" s="515"/>
      <c r="B23" s="454" t="s">
        <v>541</v>
      </c>
      <c r="C23" s="368" t="str">
        <f>ORCAMENTO!D327</f>
        <v>Placa da obra - padrão Governo Federal</v>
      </c>
      <c r="D23" s="453" t="str">
        <f>'[5]PLANILHA ORÇAMENTÁRIA'!F29</f>
        <v>M2</v>
      </c>
      <c r="E23" s="368"/>
      <c r="F23" s="514">
        <v>3.2</v>
      </c>
      <c r="G23" s="514">
        <v>2</v>
      </c>
      <c r="H23" s="514"/>
      <c r="I23" s="513"/>
      <c r="J23" s="512">
        <f>F23*G23</f>
        <v>6.4</v>
      </c>
    </row>
    <row r="24" spans="1:10" s="460" customFormat="1" ht="25.5">
      <c r="B24" s="464" t="s">
        <v>544</v>
      </c>
      <c r="C24" s="368" t="str">
        <f>ORCAMENTO!D328</f>
        <v>DEMOLICAO DE ALVENARIA DE TIJOLOS FURADOS S/REAPROVEITAMENTO</v>
      </c>
      <c r="D24" s="289" t="s">
        <v>557</v>
      </c>
      <c r="E24" s="368"/>
      <c r="F24" s="478"/>
      <c r="G24" s="478"/>
      <c r="H24" s="478"/>
      <c r="I24" s="477"/>
      <c r="J24" s="469">
        <f>SUM(J25:J52)</f>
        <v>36.863281000000008</v>
      </c>
    </row>
    <row r="25" spans="1:10" ht="15">
      <c r="B25" s="459"/>
      <c r="C25" s="278" t="s">
        <v>1954</v>
      </c>
      <c r="D25" s="172"/>
      <c r="E25" s="278">
        <v>1</v>
      </c>
      <c r="F25" s="476">
        <v>3</v>
      </c>
      <c r="G25" s="476">
        <v>2.83</v>
      </c>
      <c r="H25" s="476">
        <v>0.15</v>
      </c>
      <c r="I25" s="479" t="s">
        <v>1947</v>
      </c>
      <c r="J25" s="474">
        <f>(E25*F25*G25*H25)-(0.8*2.1*H25)</f>
        <v>1.0215000000000001</v>
      </c>
    </row>
    <row r="26" spans="1:10" ht="15">
      <c r="B26" s="459"/>
      <c r="C26" s="278"/>
      <c r="D26" s="172"/>
      <c r="E26" s="278">
        <v>1</v>
      </c>
      <c r="F26" s="476">
        <v>3</v>
      </c>
      <c r="G26" s="476">
        <v>2.83</v>
      </c>
      <c r="H26" s="476">
        <v>0.15</v>
      </c>
      <c r="I26" s="475"/>
      <c r="J26" s="474">
        <f>E26*F26*G26*H26</f>
        <v>1.2735000000000001</v>
      </c>
    </row>
    <row r="27" spans="1:10" ht="15">
      <c r="B27" s="459"/>
      <c r="C27" s="278" t="s">
        <v>1801</v>
      </c>
      <c r="D27" s="172"/>
      <c r="E27" s="278">
        <v>1</v>
      </c>
      <c r="F27" s="476">
        <v>3</v>
      </c>
      <c r="G27" s="476">
        <v>2.83</v>
      </c>
      <c r="H27" s="476">
        <v>0.15</v>
      </c>
      <c r="I27" s="479" t="s">
        <v>1947</v>
      </c>
      <c r="J27" s="474">
        <f>(E27*F27*G27*H27)-(0.8*2.1*H27)</f>
        <v>1.0215000000000001</v>
      </c>
    </row>
    <row r="28" spans="1:10" ht="15">
      <c r="B28" s="459"/>
      <c r="C28" s="278" t="s">
        <v>1953</v>
      </c>
      <c r="D28" s="172"/>
      <c r="E28" s="278">
        <v>1</v>
      </c>
      <c r="F28" s="476">
        <v>0.8</v>
      </c>
      <c r="G28" s="476">
        <v>2.1</v>
      </c>
      <c r="H28" s="476">
        <v>0.15</v>
      </c>
      <c r="I28" s="475"/>
      <c r="J28" s="474">
        <f>E28*F28*G28*H28</f>
        <v>0.252</v>
      </c>
    </row>
    <row r="29" spans="1:10" ht="15">
      <c r="B29" s="459"/>
      <c r="C29" s="278"/>
      <c r="D29" s="172"/>
      <c r="E29" s="278">
        <v>1</v>
      </c>
      <c r="F29" s="476">
        <v>1</v>
      </c>
      <c r="G29" s="476">
        <v>2.83</v>
      </c>
      <c r="H29" s="476">
        <v>0.15</v>
      </c>
      <c r="I29" s="475"/>
      <c r="J29" s="474">
        <f>E29*F29*G29*H29</f>
        <v>0.42449999999999999</v>
      </c>
    </row>
    <row r="30" spans="1:10" ht="15">
      <c r="B30" s="459"/>
      <c r="C30" s="278"/>
      <c r="D30" s="172"/>
      <c r="E30" s="278">
        <v>1</v>
      </c>
      <c r="F30" s="476">
        <v>0.74</v>
      </c>
      <c r="G30" s="476">
        <v>2.83</v>
      </c>
      <c r="H30" s="476">
        <v>0.15</v>
      </c>
      <c r="I30" s="475"/>
      <c r="J30" s="474">
        <f>E30*F30*G30*H30</f>
        <v>0.31412999999999996</v>
      </c>
    </row>
    <row r="31" spans="1:10" ht="15">
      <c r="B31" s="459"/>
      <c r="C31" s="278"/>
      <c r="D31" s="172"/>
      <c r="E31" s="278">
        <v>1</v>
      </c>
      <c r="F31" s="476">
        <v>0.8</v>
      </c>
      <c r="G31" s="476">
        <v>2.1</v>
      </c>
      <c r="H31" s="476">
        <v>0.15</v>
      </c>
      <c r="I31" s="475"/>
      <c r="J31" s="474">
        <f>E31*F31*G31*H31</f>
        <v>0.252</v>
      </c>
    </row>
    <row r="32" spans="1:10" ht="15">
      <c r="B32" s="459"/>
      <c r="C32" s="278"/>
      <c r="D32" s="172"/>
      <c r="E32" s="278">
        <v>2</v>
      </c>
      <c r="F32" s="476">
        <v>2.4</v>
      </c>
      <c r="G32" s="476">
        <v>2.83</v>
      </c>
      <c r="H32" s="476">
        <v>0.15</v>
      </c>
      <c r="I32" s="479" t="s">
        <v>1952</v>
      </c>
      <c r="J32" s="474">
        <f>(E32*F32*G32*H32)-(1.4*2.1*H32)</f>
        <v>1.5965999999999998</v>
      </c>
    </row>
    <row r="33" spans="2:10" ht="15">
      <c r="B33" s="459"/>
      <c r="C33" s="278"/>
      <c r="D33" s="172"/>
      <c r="E33" s="278">
        <v>1</v>
      </c>
      <c r="F33" s="476">
        <v>6.12</v>
      </c>
      <c r="G33" s="476">
        <v>2.83</v>
      </c>
      <c r="H33" s="476">
        <v>0.15</v>
      </c>
      <c r="I33" s="479" t="s">
        <v>1951</v>
      </c>
      <c r="J33" s="474">
        <f>(E33*F33*G33*H33)-(0.8*2.1*H33)-(0.6*2.1*H33)</f>
        <v>2.1569399999999996</v>
      </c>
    </row>
    <row r="34" spans="2:10" ht="15">
      <c r="B34" s="459"/>
      <c r="C34" s="278"/>
      <c r="D34" s="172"/>
      <c r="E34" s="278">
        <v>2</v>
      </c>
      <c r="F34" s="476">
        <v>2.6</v>
      </c>
      <c r="G34" s="476">
        <v>2.83</v>
      </c>
      <c r="H34" s="476">
        <v>0.15</v>
      </c>
      <c r="I34" s="475"/>
      <c r="J34" s="474">
        <f>E34*F34*G34*H34</f>
        <v>2.2074000000000003</v>
      </c>
    </row>
    <row r="35" spans="2:10" ht="15">
      <c r="B35" s="459"/>
      <c r="C35" s="278"/>
      <c r="D35" s="172"/>
      <c r="E35" s="278">
        <v>2</v>
      </c>
      <c r="F35" s="476">
        <v>2.35</v>
      </c>
      <c r="G35" s="476">
        <v>2.83</v>
      </c>
      <c r="H35" s="476">
        <v>0.15</v>
      </c>
      <c r="I35" s="479" t="s">
        <v>1950</v>
      </c>
      <c r="J35" s="474">
        <f>(E35*F35*G35*H35)-(2*0.6*2.1*H35)</f>
        <v>1.6171500000000001</v>
      </c>
    </row>
    <row r="36" spans="2:10" ht="15">
      <c r="B36" s="459"/>
      <c r="C36" s="278"/>
      <c r="D36" s="172"/>
      <c r="E36" s="278">
        <v>1</v>
      </c>
      <c r="F36" s="476">
        <v>2.4500000000000002</v>
      </c>
      <c r="G36" s="476">
        <v>2.83</v>
      </c>
      <c r="H36" s="476">
        <v>0.15</v>
      </c>
      <c r="I36" s="479"/>
      <c r="J36" s="474">
        <f>E36*F36*G36*H36</f>
        <v>1.040025</v>
      </c>
    </row>
    <row r="37" spans="2:10" ht="15">
      <c r="B37" s="459"/>
      <c r="C37" s="278"/>
      <c r="D37" s="172"/>
      <c r="E37" s="278">
        <v>2</v>
      </c>
      <c r="F37" s="476">
        <v>5.15</v>
      </c>
      <c r="G37" s="476">
        <v>2.83</v>
      </c>
      <c r="H37" s="476">
        <v>0.15</v>
      </c>
      <c r="I37" s="479" t="s">
        <v>1949</v>
      </c>
      <c r="J37" s="474">
        <f>(E37*F37*G37*H37)-(2*0.8*2.1*H37)</f>
        <v>3.8683500000000008</v>
      </c>
    </row>
    <row r="38" spans="2:10" ht="15">
      <c r="B38" s="459"/>
      <c r="C38" s="278"/>
      <c r="D38" s="172"/>
      <c r="E38" s="278">
        <v>1</v>
      </c>
      <c r="F38" s="476">
        <v>2.12</v>
      </c>
      <c r="G38" s="476">
        <v>2.83</v>
      </c>
      <c r="H38" s="476">
        <v>0.15</v>
      </c>
      <c r="I38" s="479"/>
      <c r="J38" s="474">
        <f>E38*F38*G38*H38</f>
        <v>0.89993999999999996</v>
      </c>
    </row>
    <row r="39" spans="2:10" ht="15">
      <c r="B39" s="459"/>
      <c r="C39" s="278" t="s">
        <v>1781</v>
      </c>
      <c r="D39" s="172"/>
      <c r="E39" s="278">
        <v>1</v>
      </c>
      <c r="F39" s="476">
        <v>3.09</v>
      </c>
      <c r="G39" s="476">
        <v>2.83</v>
      </c>
      <c r="H39" s="476">
        <v>0.15</v>
      </c>
      <c r="I39" s="479" t="s">
        <v>1948</v>
      </c>
      <c r="J39" s="474">
        <f>(E39*F39*G39*H39)-(3*2.1*H39)</f>
        <v>0.36670499999999984</v>
      </c>
    </row>
    <row r="40" spans="2:10" ht="15">
      <c r="B40" s="459"/>
      <c r="C40" s="278"/>
      <c r="D40" s="172"/>
      <c r="E40" s="278">
        <v>1</v>
      </c>
      <c r="F40" s="476">
        <v>0.65</v>
      </c>
      <c r="G40" s="476">
        <v>2.83</v>
      </c>
      <c r="H40" s="476">
        <v>0.15</v>
      </c>
      <c r="I40" s="479"/>
      <c r="J40" s="474">
        <f>E40*F40*G40*H40</f>
        <v>0.27592500000000003</v>
      </c>
    </row>
    <row r="41" spans="2:10" ht="15">
      <c r="B41" s="459"/>
      <c r="C41" s="278"/>
      <c r="D41" s="172"/>
      <c r="E41" s="278">
        <v>1</v>
      </c>
      <c r="F41" s="476">
        <v>2.5</v>
      </c>
      <c r="G41" s="476">
        <v>2.83</v>
      </c>
      <c r="H41" s="476">
        <v>0.15</v>
      </c>
      <c r="I41" s="479"/>
      <c r="J41" s="474">
        <f>E41*F41*G41*H41</f>
        <v>1.06125</v>
      </c>
    </row>
    <row r="42" spans="2:10" ht="15">
      <c r="B42" s="459"/>
      <c r="C42" s="278"/>
      <c r="D42" s="172"/>
      <c r="E42" s="278">
        <v>1</v>
      </c>
      <c r="F42" s="476">
        <v>2.11</v>
      </c>
      <c r="G42" s="476">
        <v>2.83</v>
      </c>
      <c r="H42" s="476">
        <v>0.27</v>
      </c>
      <c r="I42" s="479"/>
      <c r="J42" s="474">
        <f>E42*F42*G42*H42</f>
        <v>1.6122509999999999</v>
      </c>
    </row>
    <row r="43" spans="2:10" ht="15">
      <c r="B43" s="459"/>
      <c r="C43" s="278"/>
      <c r="D43" s="172"/>
      <c r="E43" s="278">
        <v>1</v>
      </c>
      <c r="F43" s="476">
        <v>2.11</v>
      </c>
      <c r="G43" s="476">
        <v>2.83</v>
      </c>
      <c r="H43" s="476">
        <v>0.2</v>
      </c>
      <c r="I43" s="479" t="s">
        <v>1947</v>
      </c>
      <c r="J43" s="474">
        <f>(E43*F43*G43*H43)-(0.8*2.1*H43)</f>
        <v>0.8582599999999998</v>
      </c>
    </row>
    <row r="44" spans="2:10" ht="15">
      <c r="B44" s="459"/>
      <c r="C44" s="278" t="s">
        <v>1778</v>
      </c>
      <c r="D44" s="172"/>
      <c r="E44" s="278">
        <v>1</v>
      </c>
      <c r="F44" s="476">
        <v>2.92</v>
      </c>
      <c r="G44" s="476">
        <v>2.83</v>
      </c>
      <c r="H44" s="476">
        <v>0.15</v>
      </c>
      <c r="I44" s="479" t="s">
        <v>1947</v>
      </c>
      <c r="J44" s="474">
        <f>(E44*F44*G44*H44)-(0.8*2.1*H44)</f>
        <v>0.98754000000000008</v>
      </c>
    </row>
    <row r="45" spans="2:10" ht="15">
      <c r="B45" s="459"/>
      <c r="C45" s="278" t="s">
        <v>1783</v>
      </c>
      <c r="D45" s="172"/>
      <c r="E45" s="278">
        <v>1</v>
      </c>
      <c r="F45" s="476">
        <v>3</v>
      </c>
      <c r="G45" s="476">
        <v>2.83</v>
      </c>
      <c r="H45" s="476">
        <v>0.15</v>
      </c>
      <c r="I45" s="479" t="s">
        <v>1947</v>
      </c>
      <c r="J45" s="474">
        <f>(E45*F45*G45*H45)-(0.8*2.1*H45)</f>
        <v>1.0215000000000001</v>
      </c>
    </row>
    <row r="46" spans="2:10" ht="15">
      <c r="B46" s="459"/>
      <c r="C46" s="278"/>
      <c r="D46" s="172"/>
      <c r="E46" s="278">
        <v>1</v>
      </c>
      <c r="F46" s="476">
        <v>3.61</v>
      </c>
      <c r="G46" s="476">
        <v>2.83</v>
      </c>
      <c r="H46" s="476">
        <v>0.15</v>
      </c>
      <c r="I46" s="479"/>
      <c r="J46" s="474">
        <f>E46*F46*G46*H46</f>
        <v>1.5324450000000001</v>
      </c>
    </row>
    <row r="47" spans="2:10" ht="15">
      <c r="B47" s="459"/>
      <c r="C47" s="278"/>
      <c r="D47" s="172"/>
      <c r="E47" s="278">
        <v>3</v>
      </c>
      <c r="F47" s="476">
        <v>2.95</v>
      </c>
      <c r="G47" s="476">
        <v>2.83</v>
      </c>
      <c r="H47" s="476">
        <v>0.15</v>
      </c>
      <c r="I47" s="479" t="s">
        <v>1947</v>
      </c>
      <c r="J47" s="474">
        <f>(E47*F47*G47*H47)-(0.8*2.1*H47)</f>
        <v>3.5048250000000003</v>
      </c>
    </row>
    <row r="48" spans="2:10" ht="15">
      <c r="B48" s="459"/>
      <c r="C48" s="278"/>
      <c r="D48" s="172"/>
      <c r="E48" s="278">
        <v>1</v>
      </c>
      <c r="F48" s="476">
        <v>4.99</v>
      </c>
      <c r="G48" s="476">
        <v>2.83</v>
      </c>
      <c r="H48" s="476">
        <v>0.15</v>
      </c>
      <c r="I48" s="479"/>
      <c r="J48" s="474">
        <f>E48*F48*G48*H48</f>
        <v>2.118255</v>
      </c>
    </row>
    <row r="49" spans="2:10" ht="15">
      <c r="B49" s="459"/>
      <c r="C49" s="278" t="s">
        <v>1728</v>
      </c>
      <c r="D49" s="172"/>
      <c r="E49" s="278">
        <v>2</v>
      </c>
      <c r="F49" s="476">
        <v>4.3499999999999996</v>
      </c>
      <c r="G49" s="476">
        <v>2.83</v>
      </c>
      <c r="H49" s="476">
        <v>0.15</v>
      </c>
      <c r="I49" s="479"/>
      <c r="J49" s="474">
        <f>E49*F49*G49*H49</f>
        <v>3.6931499999999997</v>
      </c>
    </row>
    <row r="50" spans="2:10" ht="15">
      <c r="B50" s="459"/>
      <c r="C50" s="278"/>
      <c r="D50" s="172"/>
      <c r="E50" s="278">
        <v>1</v>
      </c>
      <c r="F50" s="476">
        <v>0.94</v>
      </c>
      <c r="G50" s="476">
        <v>2.83</v>
      </c>
      <c r="H50" s="476">
        <v>0.2</v>
      </c>
      <c r="I50" s="479"/>
      <c r="J50" s="474">
        <f>E50*F50*G50*H50</f>
        <v>0.53204000000000007</v>
      </c>
    </row>
    <row r="51" spans="2:10" ht="15">
      <c r="B51" s="459"/>
      <c r="C51" s="278" t="s">
        <v>1946</v>
      </c>
      <c r="D51" s="172"/>
      <c r="E51" s="278">
        <v>2</v>
      </c>
      <c r="F51" s="476">
        <v>0.9</v>
      </c>
      <c r="G51" s="476">
        <v>2.1</v>
      </c>
      <c r="H51" s="476">
        <v>0.27</v>
      </c>
      <c r="I51" s="479"/>
      <c r="J51" s="474">
        <f>E51*F51*G51*H51</f>
        <v>1.0206000000000002</v>
      </c>
    </row>
    <row r="52" spans="2:10" ht="15">
      <c r="B52" s="459"/>
      <c r="C52" s="278" t="s">
        <v>1945</v>
      </c>
      <c r="D52" s="172"/>
      <c r="E52" s="278">
        <v>1</v>
      </c>
      <c r="F52" s="476">
        <v>1.85</v>
      </c>
      <c r="G52" s="476">
        <v>0.4</v>
      </c>
      <c r="H52" s="476">
        <v>0.45</v>
      </c>
      <c r="I52" s="475"/>
      <c r="J52" s="474">
        <f>E52*F52*G52*H52</f>
        <v>0.33300000000000007</v>
      </c>
    </row>
    <row r="53" spans="2:10" ht="15">
      <c r="B53" s="459"/>
      <c r="C53" s="278"/>
      <c r="D53" s="172"/>
      <c r="E53" s="278"/>
      <c r="F53" s="476"/>
      <c r="G53" s="476"/>
      <c r="H53" s="476"/>
      <c r="I53" s="475"/>
      <c r="J53" s="474"/>
    </row>
    <row r="54" spans="2:10" ht="15">
      <c r="B54" s="459"/>
      <c r="C54" s="278"/>
      <c r="D54" s="172"/>
      <c r="E54" s="278"/>
      <c r="F54" s="476"/>
      <c r="G54" s="476"/>
      <c r="H54" s="476"/>
      <c r="I54" s="475"/>
      <c r="J54" s="474"/>
    </row>
    <row r="55" spans="2:10" s="460" customFormat="1" ht="25.5">
      <c r="B55" s="464" t="s">
        <v>546</v>
      </c>
      <c r="C55" s="368" t="s">
        <v>1258</v>
      </c>
      <c r="D55" s="289" t="s">
        <v>610</v>
      </c>
      <c r="E55" s="368"/>
      <c r="F55" s="478"/>
      <c r="G55" s="478"/>
      <c r="H55" s="478"/>
      <c r="I55" s="477"/>
      <c r="J55" s="469">
        <f>J56</f>
        <v>902.23999999999955</v>
      </c>
    </row>
    <row r="56" spans="2:10" ht="15">
      <c r="B56" s="459"/>
      <c r="C56" s="368" t="s">
        <v>1842</v>
      </c>
      <c r="D56" s="289"/>
      <c r="E56" s="368"/>
      <c r="F56" s="478"/>
      <c r="G56" s="478"/>
      <c r="H56" s="478"/>
      <c r="I56" s="477"/>
      <c r="J56" s="469">
        <f>SUM(J57:J131)</f>
        <v>902.23999999999955</v>
      </c>
    </row>
    <row r="57" spans="2:10" ht="15">
      <c r="B57" s="459"/>
      <c r="C57" s="278" t="s">
        <v>1801</v>
      </c>
      <c r="D57" s="172"/>
      <c r="E57" s="278"/>
      <c r="F57" s="476">
        <v>3</v>
      </c>
      <c r="G57" s="476">
        <f>2.5+0.15+1.61</f>
        <v>4.26</v>
      </c>
      <c r="H57" s="476">
        <v>1.2</v>
      </c>
      <c r="I57" s="479" t="s">
        <v>1941</v>
      </c>
      <c r="J57" s="474">
        <f>ROUND(((F57+G57)*2*H57)-(2*0.8*H57),2)</f>
        <v>15.5</v>
      </c>
    </row>
    <row r="58" spans="2:10" ht="15">
      <c r="B58" s="459"/>
      <c r="C58" s="278" t="s">
        <v>1750</v>
      </c>
      <c r="D58" s="172"/>
      <c r="E58" s="278"/>
      <c r="F58" s="476">
        <v>1.83</v>
      </c>
      <c r="G58" s="476">
        <v>6.23</v>
      </c>
      <c r="H58" s="476">
        <v>1.2</v>
      </c>
      <c r="I58" s="479" t="s">
        <v>1932</v>
      </c>
      <c r="J58" s="474">
        <f>ROUND(((F58+G58)*2*H58)-(1*0.8*H58),2)</f>
        <v>18.38</v>
      </c>
    </row>
    <row r="59" spans="2:10" ht="15">
      <c r="B59" s="459"/>
      <c r="C59" s="278"/>
      <c r="D59" s="172"/>
      <c r="E59" s="278"/>
      <c r="F59" s="476">
        <f>0.8+0.15+0.8</f>
        <v>1.75</v>
      </c>
      <c r="G59" s="476"/>
      <c r="H59" s="476">
        <v>1.2</v>
      </c>
      <c r="I59" s="479"/>
      <c r="J59" s="474">
        <f>ROUND(F59*H59,2)</f>
        <v>2.1</v>
      </c>
    </row>
    <row r="60" spans="2:10" ht="15">
      <c r="B60" s="459"/>
      <c r="C60" s="278" t="s">
        <v>1749</v>
      </c>
      <c r="D60" s="172"/>
      <c r="E60" s="278"/>
      <c r="F60" s="476">
        <v>2.3199999999999998</v>
      </c>
      <c r="G60" s="476">
        <v>4.49</v>
      </c>
      <c r="H60" s="476">
        <v>1.2</v>
      </c>
      <c r="I60" s="479" t="s">
        <v>1941</v>
      </c>
      <c r="J60" s="474">
        <f>ROUND(((F60+G60)*2*H60)-(2*0.8*H60),2)</f>
        <v>14.42</v>
      </c>
    </row>
    <row r="61" spans="2:10" ht="15">
      <c r="B61" s="459"/>
      <c r="C61" s="278" t="s">
        <v>1800</v>
      </c>
      <c r="D61" s="172"/>
      <c r="E61" s="278"/>
      <c r="F61" s="476">
        <v>1.59</v>
      </c>
      <c r="G61" s="476">
        <v>1.0900000000000001</v>
      </c>
      <c r="H61" s="476">
        <v>1.2</v>
      </c>
      <c r="I61" s="479" t="s">
        <v>1941</v>
      </c>
      <c r="J61" s="474">
        <f>ROUND(((F61+G61)*2*H61)-(2*0.8*H61),2)</f>
        <v>4.51</v>
      </c>
    </row>
    <row r="62" spans="2:10" ht="15">
      <c r="B62" s="459"/>
      <c r="C62" s="278" t="s">
        <v>1799</v>
      </c>
      <c r="D62" s="172"/>
      <c r="E62" s="278"/>
      <c r="F62" s="476">
        <v>3</v>
      </c>
      <c r="G62" s="476">
        <v>1.59</v>
      </c>
      <c r="H62" s="476">
        <v>1.2</v>
      </c>
      <c r="I62" s="479" t="s">
        <v>1932</v>
      </c>
      <c r="J62" s="474">
        <f>ROUND(((F62+G62)*2*H62)-(1*0.8*H62),2)</f>
        <v>10.06</v>
      </c>
    </row>
    <row r="63" spans="2:10" ht="15">
      <c r="B63" s="459"/>
      <c r="C63" s="278" t="s">
        <v>1798</v>
      </c>
      <c r="D63" s="172"/>
      <c r="E63" s="278"/>
      <c r="F63" s="476">
        <v>3</v>
      </c>
      <c r="G63" s="476"/>
      <c r="H63" s="476">
        <v>1.2</v>
      </c>
      <c r="I63" s="481"/>
      <c r="J63" s="474">
        <f>ROUND((F63*H63),2)</f>
        <v>3.6</v>
      </c>
    </row>
    <row r="64" spans="2:10" ht="15">
      <c r="B64" s="459"/>
      <c r="C64" s="278"/>
      <c r="D64" s="172"/>
      <c r="E64" s="278"/>
      <c r="F64" s="476">
        <v>1.8</v>
      </c>
      <c r="G64" s="476"/>
      <c r="H64" s="476">
        <v>1.2</v>
      </c>
      <c r="I64" s="479"/>
      <c r="J64" s="474">
        <f>ROUND((F64*H64),2)</f>
        <v>2.16</v>
      </c>
    </row>
    <row r="65" spans="2:10" ht="15">
      <c r="B65" s="459"/>
      <c r="C65" s="278"/>
      <c r="D65" s="172"/>
      <c r="E65" s="278"/>
      <c r="F65" s="476">
        <f>1.54+1</f>
        <v>2.54</v>
      </c>
      <c r="G65" s="476"/>
      <c r="H65" s="476">
        <v>1.2</v>
      </c>
      <c r="I65" s="479"/>
      <c r="J65" s="474">
        <f>ROUND((F65*H65),2)</f>
        <v>3.05</v>
      </c>
    </row>
    <row r="66" spans="2:10" ht="15">
      <c r="B66" s="459"/>
      <c r="C66" s="278"/>
      <c r="D66" s="172"/>
      <c r="E66" s="278"/>
      <c r="F66" s="476">
        <v>2.0699999999999998</v>
      </c>
      <c r="G66" s="476"/>
      <c r="H66" s="476">
        <v>1.2</v>
      </c>
      <c r="I66" s="479"/>
      <c r="J66" s="474">
        <f>ROUND((F66*H66),2)</f>
        <v>2.48</v>
      </c>
    </row>
    <row r="67" spans="2:10" ht="15">
      <c r="B67" s="459"/>
      <c r="C67" s="278"/>
      <c r="D67" s="172"/>
      <c r="E67" s="278"/>
      <c r="F67" s="476">
        <v>1.87</v>
      </c>
      <c r="G67" s="476"/>
      <c r="H67" s="476">
        <v>1.2</v>
      </c>
      <c r="I67" s="479" t="s">
        <v>1935</v>
      </c>
      <c r="J67" s="474">
        <f>ROUND((F67*H67)-(1*0.6*H67),2)</f>
        <v>1.52</v>
      </c>
    </row>
    <row r="68" spans="2:10" ht="15">
      <c r="B68" s="459"/>
      <c r="C68" s="278"/>
      <c r="D68" s="172"/>
      <c r="E68" s="278"/>
      <c r="F68" s="476">
        <v>2.54</v>
      </c>
      <c r="G68" s="476"/>
      <c r="H68" s="476">
        <v>1.2</v>
      </c>
      <c r="I68" s="479" t="s">
        <v>1932</v>
      </c>
      <c r="J68" s="474">
        <f>ROUND((F68*H68)-(1*0.8*H68),2)</f>
        <v>2.09</v>
      </c>
    </row>
    <row r="69" spans="2:10" ht="15">
      <c r="B69" s="459"/>
      <c r="C69" s="278" t="s">
        <v>1797</v>
      </c>
      <c r="D69" s="172"/>
      <c r="E69" s="278"/>
      <c r="F69" s="476">
        <v>1.8</v>
      </c>
      <c r="G69" s="476">
        <v>3.07</v>
      </c>
      <c r="H69" s="476">
        <v>1.2</v>
      </c>
      <c r="I69" s="479" t="s">
        <v>1924</v>
      </c>
      <c r="J69" s="474">
        <f>ROUND(((F69+G69)*2*H69)-(1*1*H69),2)</f>
        <v>10.49</v>
      </c>
    </row>
    <row r="70" spans="2:10" ht="15">
      <c r="B70" s="459"/>
      <c r="C70" s="278" t="s">
        <v>1796</v>
      </c>
      <c r="D70" s="172"/>
      <c r="E70" s="278"/>
      <c r="F70" s="476">
        <v>1.8</v>
      </c>
      <c r="G70" s="476">
        <v>3.23</v>
      </c>
      <c r="H70" s="476">
        <v>1.2</v>
      </c>
      <c r="I70" s="479" t="s">
        <v>1944</v>
      </c>
      <c r="J70" s="474">
        <f>ROUND(((F70+G70)*2*H70)-(1*0.8*1.2)-(1*1.23*1.2),2)</f>
        <v>9.64</v>
      </c>
    </row>
    <row r="71" spans="2:10" ht="30">
      <c r="B71" s="459"/>
      <c r="C71" s="278" t="s">
        <v>1795</v>
      </c>
      <c r="D71" s="172"/>
      <c r="E71" s="278"/>
      <c r="F71" s="476">
        <v>1.59</v>
      </c>
      <c r="G71" s="476">
        <v>3.93</v>
      </c>
      <c r="H71" s="476">
        <v>1.2</v>
      </c>
      <c r="I71" s="481" t="s">
        <v>1943</v>
      </c>
      <c r="J71" s="474">
        <f>ROUND(((F71+G71)*2*H71)-(1*0.8*1.2)-(1*1.23*1.2)-(1*0.6*1.2),2)</f>
        <v>10.09</v>
      </c>
    </row>
    <row r="72" spans="2:10" ht="15">
      <c r="B72" s="459"/>
      <c r="C72" s="278"/>
      <c r="D72" s="172"/>
      <c r="E72" s="278">
        <v>2</v>
      </c>
      <c r="F72" s="476">
        <v>0.7</v>
      </c>
      <c r="G72" s="476"/>
      <c r="H72" s="476">
        <v>1.2</v>
      </c>
      <c r="I72" s="475"/>
      <c r="J72" s="474">
        <f>ROUND(E72*F72*H72,2)</f>
        <v>1.68</v>
      </c>
    </row>
    <row r="73" spans="2:10" ht="15">
      <c r="B73" s="459"/>
      <c r="C73" s="278" t="s">
        <v>1741</v>
      </c>
      <c r="D73" s="172"/>
      <c r="E73" s="278"/>
      <c r="F73" s="476">
        <v>2.94</v>
      </c>
      <c r="G73" s="476">
        <v>3.54</v>
      </c>
      <c r="H73" s="476">
        <v>1.2</v>
      </c>
      <c r="I73" s="479" t="s">
        <v>1941</v>
      </c>
      <c r="J73" s="474">
        <f>ROUND(((F73+G73)*2*H73)-(2*0.8*H73),2)</f>
        <v>13.63</v>
      </c>
    </row>
    <row r="74" spans="2:10" ht="15">
      <c r="B74" s="459"/>
      <c r="C74" s="278"/>
      <c r="D74" s="172"/>
      <c r="E74" s="278">
        <v>4</v>
      </c>
      <c r="F74" s="476">
        <v>0.7</v>
      </c>
      <c r="G74" s="476"/>
      <c r="H74" s="476">
        <v>1.2</v>
      </c>
      <c r="I74" s="479"/>
      <c r="J74" s="474">
        <f>ROUND(E74*F74*H74,2)</f>
        <v>3.36</v>
      </c>
    </row>
    <row r="75" spans="2:10" ht="15">
      <c r="B75" s="459"/>
      <c r="C75" s="278" t="s">
        <v>1740</v>
      </c>
      <c r="D75" s="172"/>
      <c r="E75" s="278"/>
      <c r="F75" s="476">
        <v>3</v>
      </c>
      <c r="G75" s="476">
        <v>3.54</v>
      </c>
      <c r="H75" s="476">
        <v>1.2</v>
      </c>
      <c r="I75" s="479" t="s">
        <v>1941</v>
      </c>
      <c r="J75" s="474">
        <f>ROUND(((F75+G75)*2*H75)-(2*0.8*H75),2)</f>
        <v>13.78</v>
      </c>
    </row>
    <row r="76" spans="2:10" ht="15">
      <c r="B76" s="459"/>
      <c r="C76" s="278"/>
      <c r="D76" s="172"/>
      <c r="E76" s="278">
        <v>4</v>
      </c>
      <c r="F76" s="476">
        <v>0.7</v>
      </c>
      <c r="G76" s="476"/>
      <c r="H76" s="476">
        <v>1.2</v>
      </c>
      <c r="I76" s="479"/>
      <c r="J76" s="474">
        <f>ROUND(E76*F76*H76,2)</f>
        <v>3.36</v>
      </c>
    </row>
    <row r="77" spans="2:10" ht="15">
      <c r="B77" s="459"/>
      <c r="C77" s="278" t="s">
        <v>1794</v>
      </c>
      <c r="D77" s="172"/>
      <c r="E77" s="278"/>
      <c r="F77" s="476">
        <v>2.94</v>
      </c>
      <c r="G77" s="476">
        <v>3.54</v>
      </c>
      <c r="H77" s="476">
        <v>1.2</v>
      </c>
      <c r="I77" s="479" t="s">
        <v>1941</v>
      </c>
      <c r="J77" s="474">
        <f>ROUND(((F77+G77)*2*H77)-(2*0.8*H77),2)</f>
        <v>13.63</v>
      </c>
    </row>
    <row r="78" spans="2:10" ht="15">
      <c r="B78" s="459"/>
      <c r="C78" s="278"/>
      <c r="D78" s="172"/>
      <c r="E78" s="278">
        <v>4</v>
      </c>
      <c r="F78" s="476">
        <v>0.7</v>
      </c>
      <c r="G78" s="476"/>
      <c r="H78" s="476">
        <v>1.2</v>
      </c>
      <c r="I78" s="479"/>
      <c r="J78" s="474">
        <f>ROUND(E78*F78*H78,2)</f>
        <v>3.36</v>
      </c>
    </row>
    <row r="79" spans="2:10" ht="15">
      <c r="B79" s="459"/>
      <c r="C79" s="278" t="s">
        <v>1793</v>
      </c>
      <c r="D79" s="172"/>
      <c r="E79" s="278"/>
      <c r="F79" s="476">
        <v>3</v>
      </c>
      <c r="G79" s="476">
        <v>3.54</v>
      </c>
      <c r="H79" s="476">
        <v>1.2</v>
      </c>
      <c r="I79" s="479" t="s">
        <v>1941</v>
      </c>
      <c r="J79" s="474">
        <f>ROUND(((F79+G79)*2*H79)-(2*0.8*H79),2)</f>
        <v>13.78</v>
      </c>
    </row>
    <row r="80" spans="2:10" ht="15">
      <c r="B80" s="459"/>
      <c r="C80" s="278"/>
      <c r="D80" s="172"/>
      <c r="E80" s="278">
        <v>4</v>
      </c>
      <c r="F80" s="476">
        <v>0.7</v>
      </c>
      <c r="G80" s="476"/>
      <c r="H80" s="476">
        <v>1.2</v>
      </c>
      <c r="I80" s="479"/>
      <c r="J80" s="474">
        <f>ROUND(E80*F80*H80,2)</f>
        <v>3.36</v>
      </c>
    </row>
    <row r="81" spans="2:10" ht="15">
      <c r="B81" s="459"/>
      <c r="C81" s="278" t="s">
        <v>1792</v>
      </c>
      <c r="D81" s="172"/>
      <c r="E81" s="278"/>
      <c r="F81" s="476">
        <v>3</v>
      </c>
      <c r="G81" s="476">
        <v>3.54</v>
      </c>
      <c r="H81" s="476">
        <v>1.2</v>
      </c>
      <c r="I81" s="479" t="s">
        <v>1941</v>
      </c>
      <c r="J81" s="474">
        <f>ROUND(((F81+G81)*2*H81)-(2*0.8*H81),2)</f>
        <v>13.78</v>
      </c>
    </row>
    <row r="82" spans="2:10" ht="15">
      <c r="B82" s="459"/>
      <c r="C82" s="278"/>
      <c r="D82" s="172"/>
      <c r="E82" s="278">
        <v>4</v>
      </c>
      <c r="F82" s="476">
        <v>0.7</v>
      </c>
      <c r="G82" s="476"/>
      <c r="H82" s="476">
        <v>1.2</v>
      </c>
      <c r="I82" s="479"/>
      <c r="J82" s="474">
        <f>ROUND(E82*F82*H82,2)</f>
        <v>3.36</v>
      </c>
    </row>
    <row r="83" spans="2:10" ht="15">
      <c r="B83" s="459"/>
      <c r="C83" s="278" t="s">
        <v>1791</v>
      </c>
      <c r="D83" s="172"/>
      <c r="E83" s="278"/>
      <c r="F83" s="476">
        <v>30.86</v>
      </c>
      <c r="G83" s="476">
        <v>1</v>
      </c>
      <c r="H83" s="476">
        <v>1.2</v>
      </c>
      <c r="I83" s="479" t="s">
        <v>1942</v>
      </c>
      <c r="J83" s="474">
        <f>ROUND(((F83+G83)*2*H83)-(15*0.8*H83),2)</f>
        <v>62.06</v>
      </c>
    </row>
    <row r="84" spans="2:10" ht="15">
      <c r="B84" s="459"/>
      <c r="C84" s="278" t="s">
        <v>1790</v>
      </c>
      <c r="D84" s="172"/>
      <c r="E84" s="278"/>
      <c r="F84" s="476">
        <v>3.15</v>
      </c>
      <c r="G84" s="476">
        <v>3.46</v>
      </c>
      <c r="H84" s="476">
        <v>1.2</v>
      </c>
      <c r="I84" s="479" t="s">
        <v>1941</v>
      </c>
      <c r="J84" s="474">
        <f>ROUND(((F84+G84)*2*H84)-(2*0.8*H84),2)</f>
        <v>13.94</v>
      </c>
    </row>
    <row r="85" spans="2:10" ht="15">
      <c r="B85" s="459"/>
      <c r="C85" s="278"/>
      <c r="D85" s="172"/>
      <c r="E85" s="278">
        <v>4</v>
      </c>
      <c r="F85" s="476">
        <v>0.89</v>
      </c>
      <c r="G85" s="476"/>
      <c r="H85" s="476">
        <v>1.2</v>
      </c>
      <c r="I85" s="475"/>
      <c r="J85" s="474">
        <f>ROUND(E85*F85*H85,2)</f>
        <v>4.2699999999999996</v>
      </c>
    </row>
    <row r="86" spans="2:10" ht="15">
      <c r="B86" s="459"/>
      <c r="C86" s="278" t="s">
        <v>1789</v>
      </c>
      <c r="D86" s="172"/>
      <c r="E86" s="278"/>
      <c r="F86" s="476">
        <v>3</v>
      </c>
      <c r="G86" s="476">
        <v>3.46</v>
      </c>
      <c r="H86" s="476">
        <v>1.2</v>
      </c>
      <c r="I86" s="479" t="s">
        <v>1941</v>
      </c>
      <c r="J86" s="474">
        <f>ROUND(((F86+G86)*2*H86)-(2*0.8*H86),2)</f>
        <v>13.58</v>
      </c>
    </row>
    <row r="87" spans="2:10" ht="15">
      <c r="B87" s="459"/>
      <c r="C87" s="278"/>
      <c r="D87" s="172"/>
      <c r="E87" s="278">
        <v>2</v>
      </c>
      <c r="F87" s="476">
        <v>0.56000000000000005</v>
      </c>
      <c r="G87" s="476"/>
      <c r="H87" s="476">
        <v>1.2</v>
      </c>
      <c r="I87" s="475"/>
      <c r="J87" s="474">
        <f>ROUND(E87*F87*H87,2)</f>
        <v>1.34</v>
      </c>
    </row>
    <row r="88" spans="2:10" ht="15">
      <c r="B88" s="459"/>
      <c r="C88" s="278"/>
      <c r="D88" s="172"/>
      <c r="E88" s="278">
        <v>2</v>
      </c>
      <c r="F88" s="476">
        <v>0.89</v>
      </c>
      <c r="G88" s="476"/>
      <c r="H88" s="476">
        <v>1.2</v>
      </c>
      <c r="I88" s="475"/>
      <c r="J88" s="474">
        <f>ROUND(E88*F88*H88,2)</f>
        <v>2.14</v>
      </c>
    </row>
    <row r="89" spans="2:10" ht="15">
      <c r="B89" s="459"/>
      <c r="C89" s="278" t="s">
        <v>1788</v>
      </c>
      <c r="D89" s="172"/>
      <c r="E89" s="278"/>
      <c r="F89" s="476">
        <v>3</v>
      </c>
      <c r="G89" s="476">
        <v>3.46</v>
      </c>
      <c r="H89" s="476">
        <v>1.2</v>
      </c>
      <c r="I89" s="479" t="s">
        <v>1932</v>
      </c>
      <c r="J89" s="474">
        <f>ROUND(((F89+G89)*2*H89)-(1*0.8*H89),2)</f>
        <v>14.54</v>
      </c>
    </row>
    <row r="90" spans="2:10" ht="15">
      <c r="B90" s="459"/>
      <c r="C90" s="278"/>
      <c r="D90" s="172"/>
      <c r="E90" s="278">
        <v>2</v>
      </c>
      <c r="F90" s="476">
        <v>0.89</v>
      </c>
      <c r="G90" s="476"/>
      <c r="H90" s="476">
        <v>1.2</v>
      </c>
      <c r="I90" s="475"/>
      <c r="J90" s="474">
        <f>ROUND(E90*F90*H90,2)</f>
        <v>2.14</v>
      </c>
    </row>
    <row r="91" spans="2:10" ht="15">
      <c r="B91" s="459"/>
      <c r="C91" s="278" t="s">
        <v>1787</v>
      </c>
      <c r="D91" s="172"/>
      <c r="E91" s="278"/>
      <c r="F91" s="476">
        <v>3</v>
      </c>
      <c r="G91" s="476">
        <v>3.46</v>
      </c>
      <c r="H91" s="476">
        <v>1.2</v>
      </c>
      <c r="I91" s="479" t="s">
        <v>1932</v>
      </c>
      <c r="J91" s="474">
        <f>ROUND(((F91+G91)*2*H91)-(1*0.8*H91),2)</f>
        <v>14.54</v>
      </c>
    </row>
    <row r="92" spans="2:10" ht="15">
      <c r="B92" s="459"/>
      <c r="C92" s="278"/>
      <c r="D92" s="172"/>
      <c r="E92" s="278">
        <v>2</v>
      </c>
      <c r="F92" s="476">
        <v>0.89</v>
      </c>
      <c r="G92" s="476"/>
      <c r="H92" s="476">
        <v>1.2</v>
      </c>
      <c r="I92" s="475"/>
      <c r="J92" s="474">
        <f>ROUND(E92*F92*H92,2)</f>
        <v>2.14</v>
      </c>
    </row>
    <row r="93" spans="2:10" ht="15">
      <c r="B93" s="459"/>
      <c r="C93" s="278" t="s">
        <v>1786</v>
      </c>
      <c r="D93" s="172"/>
      <c r="E93" s="278"/>
      <c r="F93" s="476">
        <v>3</v>
      </c>
      <c r="G93" s="476">
        <v>3.46</v>
      </c>
      <c r="H93" s="476">
        <v>1.2</v>
      </c>
      <c r="I93" s="479" t="s">
        <v>1941</v>
      </c>
      <c r="J93" s="474">
        <f>ROUND(((F93+G93)*2*H93)-(2*0.8*H93),2)</f>
        <v>13.58</v>
      </c>
    </row>
    <row r="94" spans="2:10" ht="15">
      <c r="B94" s="459"/>
      <c r="C94" s="278"/>
      <c r="D94" s="172"/>
      <c r="E94" s="278">
        <v>4</v>
      </c>
      <c r="F94" s="476">
        <v>0.89</v>
      </c>
      <c r="G94" s="476"/>
      <c r="H94" s="476">
        <v>1.2</v>
      </c>
      <c r="I94" s="475"/>
      <c r="J94" s="474">
        <f>ROUND(E94*F94*H94,2)</f>
        <v>4.2699999999999996</v>
      </c>
    </row>
    <row r="95" spans="2:10" ht="15">
      <c r="B95" s="459"/>
      <c r="C95" s="278" t="s">
        <v>1785</v>
      </c>
      <c r="D95" s="172"/>
      <c r="E95" s="278"/>
      <c r="F95" s="476">
        <v>3</v>
      </c>
      <c r="G95" s="476">
        <v>3.46</v>
      </c>
      <c r="H95" s="476">
        <v>1.2</v>
      </c>
      <c r="I95" s="479" t="s">
        <v>1941</v>
      </c>
      <c r="J95" s="474">
        <f>ROUND(((F95+G95)*2*H95)-(2*0.8*H95),2)</f>
        <v>13.58</v>
      </c>
    </row>
    <row r="96" spans="2:10" ht="15">
      <c r="B96" s="459"/>
      <c r="C96" s="278"/>
      <c r="D96" s="172"/>
      <c r="E96" s="278">
        <v>2</v>
      </c>
      <c r="F96" s="476">
        <v>0.56000000000000005</v>
      </c>
      <c r="G96" s="476"/>
      <c r="H96" s="476">
        <v>1.2</v>
      </c>
      <c r="I96" s="475"/>
      <c r="J96" s="474">
        <f>ROUND(E96*F96*H96,2)</f>
        <v>1.34</v>
      </c>
    </row>
    <row r="97" spans="2:10" ht="15">
      <c r="B97" s="459"/>
      <c r="C97" s="278"/>
      <c r="D97" s="172"/>
      <c r="E97" s="278">
        <v>2</v>
      </c>
      <c r="F97" s="476">
        <v>0.89</v>
      </c>
      <c r="G97" s="476"/>
      <c r="H97" s="476">
        <v>1.2</v>
      </c>
      <c r="I97" s="475"/>
      <c r="J97" s="474">
        <f>ROUND(E97*F97*H97,2)</f>
        <v>2.14</v>
      </c>
    </row>
    <row r="98" spans="2:10" ht="15">
      <c r="B98" s="459"/>
      <c r="C98" s="278" t="s">
        <v>1784</v>
      </c>
      <c r="D98" s="172"/>
      <c r="E98" s="278"/>
      <c r="F98" s="476">
        <v>3</v>
      </c>
      <c r="G98" s="476">
        <v>3.46</v>
      </c>
      <c r="H98" s="476">
        <v>1.2</v>
      </c>
      <c r="I98" s="479" t="s">
        <v>1941</v>
      </c>
      <c r="J98" s="474">
        <f>ROUND(((F98+G98)*2*H98)-(2*0.8*H98),2)</f>
        <v>13.58</v>
      </c>
    </row>
    <row r="99" spans="2:10" ht="15">
      <c r="B99" s="459"/>
      <c r="C99" s="278"/>
      <c r="D99" s="172"/>
      <c r="E99" s="278">
        <v>4</v>
      </c>
      <c r="F99" s="476">
        <v>0.89</v>
      </c>
      <c r="G99" s="476"/>
      <c r="H99" s="476">
        <v>1.2</v>
      </c>
      <c r="I99" s="475"/>
      <c r="J99" s="474">
        <f>ROUND(E99*F99*H99,2)</f>
        <v>4.2699999999999996</v>
      </c>
    </row>
    <row r="100" spans="2:10" ht="15">
      <c r="B100" s="459"/>
      <c r="C100" s="278" t="s">
        <v>1783</v>
      </c>
      <c r="D100" s="172"/>
      <c r="E100" s="278"/>
      <c r="F100" s="476">
        <v>3.01</v>
      </c>
      <c r="G100" s="476">
        <v>3.46</v>
      </c>
      <c r="H100" s="476">
        <v>1.2</v>
      </c>
      <c r="I100" s="479" t="s">
        <v>1932</v>
      </c>
      <c r="J100" s="474">
        <f>ROUND(((F100+G100)*2*H100)-(1*0.8*H100),2)</f>
        <v>14.57</v>
      </c>
    </row>
    <row r="101" spans="2:10" ht="15">
      <c r="B101" s="459"/>
      <c r="C101" s="278"/>
      <c r="D101" s="172"/>
      <c r="E101" s="278">
        <v>2</v>
      </c>
      <c r="F101" s="476">
        <v>0.56000000000000005</v>
      </c>
      <c r="G101" s="476"/>
      <c r="H101" s="476">
        <v>1.2</v>
      </c>
      <c r="I101" s="475"/>
      <c r="J101" s="474">
        <f>ROUND(E101*F101*H101,2)</f>
        <v>1.34</v>
      </c>
    </row>
    <row r="102" spans="2:10" ht="15">
      <c r="B102" s="459"/>
      <c r="C102" s="278" t="s">
        <v>1782</v>
      </c>
      <c r="D102" s="172"/>
      <c r="E102" s="278"/>
      <c r="F102" s="476">
        <v>28.62</v>
      </c>
      <c r="G102" s="476">
        <v>2.27</v>
      </c>
      <c r="H102" s="476">
        <v>1.2</v>
      </c>
      <c r="I102" s="479" t="s">
        <v>1940</v>
      </c>
      <c r="J102" s="474">
        <f>ROUND(((F102+G102)*2*H102)-(13*0.8*H102)-(2.27*H102),2)</f>
        <v>58.93</v>
      </c>
    </row>
    <row r="103" spans="2:10" ht="15">
      <c r="B103" s="459"/>
      <c r="C103" s="278" t="s">
        <v>1781</v>
      </c>
      <c r="D103" s="172"/>
      <c r="E103" s="278"/>
      <c r="F103" s="476">
        <v>5.52</v>
      </c>
      <c r="G103" s="476"/>
      <c r="H103" s="476">
        <v>1.2</v>
      </c>
      <c r="I103" s="479" t="s">
        <v>1939</v>
      </c>
      <c r="J103" s="474">
        <f>ROUND((F103*H103)-(2*0.8*H103),2)</f>
        <v>4.7</v>
      </c>
    </row>
    <row r="104" spans="2:10" ht="15">
      <c r="B104" s="459"/>
      <c r="C104" s="278"/>
      <c r="D104" s="172"/>
      <c r="E104" s="278"/>
      <c r="F104" s="476">
        <v>3.29</v>
      </c>
      <c r="G104" s="476"/>
      <c r="H104" s="476">
        <v>1.2</v>
      </c>
      <c r="I104" s="475"/>
      <c r="J104" s="474">
        <f>ROUND(F104*H104,2)</f>
        <v>3.95</v>
      </c>
    </row>
    <row r="105" spans="2:10" ht="15">
      <c r="B105" s="459"/>
      <c r="C105" s="278"/>
      <c r="D105" s="172"/>
      <c r="E105" s="278"/>
      <c r="F105" s="476">
        <v>10.85</v>
      </c>
      <c r="G105" s="476"/>
      <c r="H105" s="476">
        <v>1.2</v>
      </c>
      <c r="I105" s="479" t="s">
        <v>1938</v>
      </c>
      <c r="J105" s="474">
        <f>ROUND((F105*H105)-(2*0.8*H105)-(1*0.7*H105),2)</f>
        <v>10.26</v>
      </c>
    </row>
    <row r="106" spans="2:10" ht="15">
      <c r="B106" s="459"/>
      <c r="C106" s="278"/>
      <c r="D106" s="172"/>
      <c r="E106" s="278"/>
      <c r="F106" s="476">
        <v>2.11</v>
      </c>
      <c r="G106" s="476"/>
      <c r="H106" s="476">
        <v>1.2</v>
      </c>
      <c r="I106" s="479" t="s">
        <v>1925</v>
      </c>
      <c r="J106" s="474">
        <f>ROUND((F106*H106)-(1*1.745*H106),2)</f>
        <v>0.44</v>
      </c>
    </row>
    <row r="107" spans="2:10" ht="15">
      <c r="B107" s="459"/>
      <c r="C107" s="278"/>
      <c r="D107" s="172"/>
      <c r="E107" s="278"/>
      <c r="F107" s="476">
        <v>4.55</v>
      </c>
      <c r="G107" s="476"/>
      <c r="H107" s="476">
        <v>1.2</v>
      </c>
      <c r="I107" s="475"/>
      <c r="J107" s="474">
        <f>ROUND(F107*H107,2)</f>
        <v>5.46</v>
      </c>
    </row>
    <row r="108" spans="2:10" ht="15">
      <c r="B108" s="459"/>
      <c r="C108" s="278"/>
      <c r="D108" s="172"/>
      <c r="E108" s="278"/>
      <c r="F108" s="476">
        <v>13.53</v>
      </c>
      <c r="G108" s="476"/>
      <c r="H108" s="476">
        <v>1.2</v>
      </c>
      <c r="I108" s="479" t="s">
        <v>1937</v>
      </c>
      <c r="J108" s="474">
        <f>ROUND((F108*H108)-(2*0.7*H108)-(1*1.74*H108),2)</f>
        <v>12.47</v>
      </c>
    </row>
    <row r="109" spans="2:10" ht="15">
      <c r="B109" s="459"/>
      <c r="C109" s="278"/>
      <c r="D109" s="172"/>
      <c r="E109" s="278"/>
      <c r="F109" s="476">
        <v>8.6</v>
      </c>
      <c r="G109" s="476"/>
      <c r="H109" s="476">
        <v>1.2</v>
      </c>
      <c r="I109" s="479"/>
      <c r="J109" s="474">
        <f>ROUND((F109*H109),2)</f>
        <v>10.32</v>
      </c>
    </row>
    <row r="110" spans="2:10" ht="15">
      <c r="B110" s="459"/>
      <c r="C110" s="278"/>
      <c r="D110" s="172"/>
      <c r="E110" s="278"/>
      <c r="F110" s="476">
        <v>7</v>
      </c>
      <c r="G110" s="476"/>
      <c r="H110" s="476">
        <v>1.2</v>
      </c>
      <c r="I110" s="479" t="s">
        <v>1936</v>
      </c>
      <c r="J110" s="474">
        <f>ROUND((F110*H110)-(1*0.9*H110),2)</f>
        <v>7.32</v>
      </c>
    </row>
    <row r="111" spans="2:10" ht="15">
      <c r="B111" s="459"/>
      <c r="C111" s="278"/>
      <c r="D111" s="172"/>
      <c r="E111" s="278"/>
      <c r="F111" s="476">
        <v>2.39</v>
      </c>
      <c r="G111" s="476"/>
      <c r="H111" s="476">
        <v>1.2</v>
      </c>
      <c r="I111" s="479"/>
      <c r="J111" s="474">
        <f>ROUND((F111*H111),2)</f>
        <v>2.87</v>
      </c>
    </row>
    <row r="112" spans="2:10" ht="15">
      <c r="B112" s="459"/>
      <c r="C112" s="278" t="s">
        <v>1832</v>
      </c>
      <c r="D112" s="172"/>
      <c r="E112" s="278"/>
      <c r="F112" s="476">
        <f>1.91+0.1+0.13+0.4+0.35+0.46</f>
        <v>3.3499999999999996</v>
      </c>
      <c r="G112" s="476"/>
      <c r="H112" s="476">
        <v>1.2</v>
      </c>
      <c r="I112" s="479"/>
      <c r="J112" s="474">
        <f>ROUND((F112*H112),2)</f>
        <v>4.0199999999999996</v>
      </c>
    </row>
    <row r="113" spans="2:10" ht="15">
      <c r="B113" s="459"/>
      <c r="C113" s="278" t="s">
        <v>1780</v>
      </c>
      <c r="D113" s="172"/>
      <c r="E113" s="278"/>
      <c r="F113" s="476">
        <v>2.92</v>
      </c>
      <c r="G113" s="476">
        <v>2.1</v>
      </c>
      <c r="H113" s="476">
        <v>1.2</v>
      </c>
      <c r="I113" s="479" t="s">
        <v>1932</v>
      </c>
      <c r="J113" s="474">
        <f>ROUND((F113+G113)*2*H113-(1*0.8*H113),2)</f>
        <v>11.09</v>
      </c>
    </row>
    <row r="114" spans="2:10" ht="15">
      <c r="B114" s="459"/>
      <c r="C114" s="278" t="s">
        <v>1779</v>
      </c>
      <c r="D114" s="172"/>
      <c r="E114" s="278"/>
      <c r="F114" s="476">
        <v>2.92</v>
      </c>
      <c r="G114" s="476">
        <v>2.92</v>
      </c>
      <c r="H114" s="476">
        <v>1.2</v>
      </c>
      <c r="I114" s="479" t="s">
        <v>1932</v>
      </c>
      <c r="J114" s="474">
        <f>ROUND((F114+G114)*2*H114-(1*0.8*H114),2)</f>
        <v>13.06</v>
      </c>
    </row>
    <row r="115" spans="2:10" ht="15">
      <c r="B115" s="459"/>
      <c r="C115" s="278" t="s">
        <v>1778</v>
      </c>
      <c r="D115" s="172"/>
      <c r="E115" s="278"/>
      <c r="F115" s="476">
        <v>2.92</v>
      </c>
      <c r="G115" s="476">
        <v>5.38</v>
      </c>
      <c r="H115" s="476">
        <v>1.2</v>
      </c>
      <c r="I115" s="479" t="s">
        <v>1932</v>
      </c>
      <c r="J115" s="474">
        <f>ROUND((F115+G115)*2*H115-(1*0.8*H115),2)</f>
        <v>18.96</v>
      </c>
    </row>
    <row r="116" spans="2:10" ht="15">
      <c r="B116" s="459"/>
      <c r="C116" s="278" t="s">
        <v>1777</v>
      </c>
      <c r="D116" s="172"/>
      <c r="E116" s="278"/>
      <c r="F116" s="476">
        <v>3</v>
      </c>
      <c r="G116" s="476">
        <v>5.15</v>
      </c>
      <c r="H116" s="476">
        <v>1.2</v>
      </c>
      <c r="I116" s="479" t="s">
        <v>1932</v>
      </c>
      <c r="J116" s="474">
        <f>ROUND((F116+G116)*2*H116-(1*0.8*H116),2)</f>
        <v>18.600000000000001</v>
      </c>
    </row>
    <row r="117" spans="2:10" ht="15">
      <c r="B117" s="459"/>
      <c r="C117" s="278" t="s">
        <v>1776</v>
      </c>
      <c r="D117" s="172"/>
      <c r="E117" s="278"/>
      <c r="F117" s="476">
        <v>1.1599999999999999</v>
      </c>
      <c r="G117" s="476">
        <v>1.85</v>
      </c>
      <c r="H117" s="476">
        <v>1.2</v>
      </c>
      <c r="I117" s="479" t="s">
        <v>1935</v>
      </c>
      <c r="J117" s="474">
        <f>ROUND((F117+G117)*2*H117-(1*0.6*H117),2)</f>
        <v>6.5</v>
      </c>
    </row>
    <row r="118" spans="2:10" ht="15">
      <c r="B118" s="459"/>
      <c r="C118" s="278" t="s">
        <v>1774</v>
      </c>
      <c r="D118" s="172"/>
      <c r="E118" s="278"/>
      <c r="F118" s="476">
        <v>3</v>
      </c>
      <c r="G118" s="476">
        <v>5.21</v>
      </c>
      <c r="H118" s="476">
        <v>1.2</v>
      </c>
      <c r="I118" s="479" t="s">
        <v>1934</v>
      </c>
      <c r="J118" s="474">
        <f>ROUND((F118+G118)*2*H118-(2*1*H118)-(3*0.8*H118),2)</f>
        <v>14.42</v>
      </c>
    </row>
    <row r="119" spans="2:10" ht="30">
      <c r="B119" s="459"/>
      <c r="C119" s="278" t="s">
        <v>1829</v>
      </c>
      <c r="D119" s="172"/>
      <c r="E119" s="278"/>
      <c r="F119" s="476">
        <v>3.79</v>
      </c>
      <c r="G119" s="476">
        <v>1</v>
      </c>
      <c r="H119" s="476">
        <v>1.2</v>
      </c>
      <c r="I119" s="481" t="s">
        <v>1933</v>
      </c>
      <c r="J119" s="474">
        <f>ROUND((F119+G119)*2*H119-(3*0.6*H119)-(2*0.8*H119)-(1*1*H119),2)</f>
        <v>6.22</v>
      </c>
    </row>
    <row r="120" spans="2:10" ht="15">
      <c r="B120" s="459"/>
      <c r="C120" s="278" t="s">
        <v>1773</v>
      </c>
      <c r="D120" s="172"/>
      <c r="E120" s="278"/>
      <c r="F120" s="476">
        <v>5.15</v>
      </c>
      <c r="G120" s="476">
        <v>5.15</v>
      </c>
      <c r="H120" s="476">
        <v>1.2</v>
      </c>
      <c r="I120" s="479" t="s">
        <v>1932</v>
      </c>
      <c r="J120" s="474">
        <f>ROUND((F120+G120)*2*H120-(1*0.8*H120),2)</f>
        <v>23.76</v>
      </c>
    </row>
    <row r="121" spans="2:10" ht="15">
      <c r="B121" s="459"/>
      <c r="C121" s="278" t="s">
        <v>1772</v>
      </c>
      <c r="D121" s="172"/>
      <c r="E121" s="278"/>
      <c r="F121" s="476">
        <v>2.25</v>
      </c>
      <c r="G121" s="476">
        <v>5.15</v>
      </c>
      <c r="H121" s="476">
        <v>1.2</v>
      </c>
      <c r="I121" s="479" t="s">
        <v>1932</v>
      </c>
      <c r="J121" s="474">
        <f>ROUND((F121+G121)*2*H121-(1*0.8*H121),2)</f>
        <v>16.8</v>
      </c>
    </row>
    <row r="122" spans="2:10" ht="15">
      <c r="B122" s="459"/>
      <c r="C122" s="278" t="s">
        <v>1771</v>
      </c>
      <c r="D122" s="172"/>
      <c r="E122" s="278"/>
      <c r="F122" s="476">
        <v>3.07</v>
      </c>
      <c r="G122" s="476">
        <v>5.15</v>
      </c>
      <c r="H122" s="476">
        <v>1.2</v>
      </c>
      <c r="I122" s="479" t="s">
        <v>1931</v>
      </c>
      <c r="J122" s="474">
        <f>ROUND((F122+G122)*2*H122-(1*0.8*H122)-(1*0.6*H122),2)</f>
        <v>18.05</v>
      </c>
    </row>
    <row r="123" spans="2:10" ht="15">
      <c r="B123" s="459"/>
      <c r="C123" s="278" t="s">
        <v>1825</v>
      </c>
      <c r="D123" s="172"/>
      <c r="E123" s="278"/>
      <c r="F123" s="476">
        <v>5.15</v>
      </c>
      <c r="G123" s="476"/>
      <c r="H123" s="476">
        <v>1.2</v>
      </c>
      <c r="I123" s="479"/>
      <c r="J123" s="474">
        <f>ROUND((F123*H123),2)</f>
        <v>6.18</v>
      </c>
    </row>
    <row r="124" spans="2:10" ht="15">
      <c r="B124" s="459"/>
      <c r="C124" s="278" t="s">
        <v>1743</v>
      </c>
      <c r="D124" s="172"/>
      <c r="E124" s="278"/>
      <c r="F124" s="476">
        <v>12.65</v>
      </c>
      <c r="G124" s="476"/>
      <c r="H124" s="476">
        <v>1.2</v>
      </c>
      <c r="I124" s="479" t="s">
        <v>1930</v>
      </c>
      <c r="J124" s="474">
        <f>ROUND((F124*H124)-(1*0.8*H124)-(1*0.9*H124),2)</f>
        <v>13.14</v>
      </c>
    </row>
    <row r="125" spans="2:10" ht="15">
      <c r="B125" s="459"/>
      <c r="C125" s="278"/>
      <c r="D125" s="172"/>
      <c r="E125" s="278"/>
      <c r="F125" s="476">
        <v>5.15</v>
      </c>
      <c r="G125" s="476"/>
      <c r="H125" s="476">
        <v>1.2</v>
      </c>
      <c r="I125" s="479" t="s">
        <v>1929</v>
      </c>
      <c r="J125" s="474">
        <f>ROUND((F125*H125)-(2*0.8*H125),2)</f>
        <v>4.26</v>
      </c>
    </row>
    <row r="126" spans="2:10" ht="15">
      <c r="B126" s="459"/>
      <c r="C126" s="278"/>
      <c r="D126" s="172"/>
      <c r="E126" s="278"/>
      <c r="F126" s="476">
        <v>17.55</v>
      </c>
      <c r="G126" s="476"/>
      <c r="H126" s="476">
        <v>1.2</v>
      </c>
      <c r="I126" s="479"/>
      <c r="J126" s="474">
        <f>ROUND((F126*H126),2)</f>
        <v>21.06</v>
      </c>
    </row>
    <row r="127" spans="2:10" ht="30">
      <c r="B127" s="459"/>
      <c r="C127" s="278" t="s">
        <v>1762</v>
      </c>
      <c r="D127" s="172"/>
      <c r="E127" s="278"/>
      <c r="F127" s="476">
        <v>21.44</v>
      </c>
      <c r="G127" s="476">
        <v>2.54</v>
      </c>
      <c r="H127" s="476">
        <v>1.2</v>
      </c>
      <c r="I127" s="481" t="s">
        <v>1928</v>
      </c>
      <c r="J127" s="474">
        <f>ROUND((F127+G127)*2*H127-(7*0.8*H127)-(2*0.9*H127)-(1*2.54*H127),2)</f>
        <v>45.62</v>
      </c>
    </row>
    <row r="128" spans="2:10" ht="15">
      <c r="B128" s="459"/>
      <c r="C128" s="278" t="s">
        <v>1821</v>
      </c>
      <c r="D128" s="172"/>
      <c r="E128" s="278"/>
      <c r="F128" s="476">
        <v>46.25</v>
      </c>
      <c r="G128" s="476"/>
      <c r="H128" s="476">
        <v>1.2</v>
      </c>
      <c r="I128" s="479" t="s">
        <v>1927</v>
      </c>
      <c r="J128" s="474">
        <f>ROUND((F128*H128)-(2*0.9*H128)-(1*0.8*H128),2)</f>
        <v>52.38</v>
      </c>
    </row>
    <row r="129" spans="2:10" ht="15">
      <c r="B129" s="459"/>
      <c r="C129" s="278" t="s">
        <v>1819</v>
      </c>
      <c r="D129" s="172"/>
      <c r="E129" s="278"/>
      <c r="F129" s="476">
        <v>46.25</v>
      </c>
      <c r="G129" s="476"/>
      <c r="H129" s="476">
        <v>1.2</v>
      </c>
      <c r="I129" s="479" t="s">
        <v>1926</v>
      </c>
      <c r="J129" s="474">
        <f>ROUND((F129*H129)-(1*2.95*H129),2)</f>
        <v>51.96</v>
      </c>
    </row>
    <row r="130" spans="2:10" ht="15">
      <c r="B130" s="459"/>
      <c r="C130" s="278" t="s">
        <v>1817</v>
      </c>
      <c r="D130" s="172"/>
      <c r="E130" s="278"/>
      <c r="F130" s="476">
        <v>19.25</v>
      </c>
      <c r="G130" s="476"/>
      <c r="H130" s="476">
        <v>1.2</v>
      </c>
      <c r="I130" s="479" t="s">
        <v>1925</v>
      </c>
      <c r="J130" s="474">
        <f>ROUND((F130*H130)-(1*1.745*H130),2)</f>
        <v>21.01</v>
      </c>
    </row>
    <row r="131" spans="2:10" ht="15">
      <c r="B131" s="459"/>
      <c r="C131" s="278" t="s">
        <v>1815</v>
      </c>
      <c r="D131" s="172"/>
      <c r="E131" s="278"/>
      <c r="F131" s="476">
        <v>19.25</v>
      </c>
      <c r="G131" s="476"/>
      <c r="H131" s="476">
        <v>1.2</v>
      </c>
      <c r="I131" s="479" t="s">
        <v>1924</v>
      </c>
      <c r="J131" s="474">
        <f>ROUND((F131*H131)-(1*1*H131),2)</f>
        <v>21.9</v>
      </c>
    </row>
    <row r="132" spans="2:10" ht="15">
      <c r="B132" s="459"/>
      <c r="C132" s="278"/>
      <c r="D132" s="172"/>
      <c r="E132" s="278"/>
      <c r="F132" s="476"/>
      <c r="G132" s="476"/>
      <c r="H132" s="476"/>
      <c r="I132" s="475"/>
      <c r="J132" s="474"/>
    </row>
    <row r="133" spans="2:10" ht="15">
      <c r="B133" s="459"/>
      <c r="C133" s="278"/>
      <c r="D133" s="172"/>
      <c r="E133" s="278"/>
      <c r="F133" s="476"/>
      <c r="G133" s="476"/>
      <c r="H133" s="476"/>
      <c r="I133" s="475"/>
      <c r="J133" s="474"/>
    </row>
    <row r="134" spans="2:10" s="460" customFormat="1" ht="25.5">
      <c r="B134" s="464" t="s">
        <v>548</v>
      </c>
      <c r="C134" s="368" t="s">
        <v>1707</v>
      </c>
      <c r="D134" s="289" t="s">
        <v>610</v>
      </c>
      <c r="E134" s="368"/>
      <c r="F134" s="478"/>
      <c r="G134" s="478"/>
      <c r="H134" s="478"/>
      <c r="I134" s="477"/>
      <c r="J134" s="469">
        <f>SUM(J135:J150)</f>
        <v>228.12</v>
      </c>
    </row>
    <row r="135" spans="2:10" ht="30">
      <c r="B135" s="459"/>
      <c r="C135" s="278" t="s">
        <v>1764</v>
      </c>
      <c r="D135" s="172"/>
      <c r="E135" s="278"/>
      <c r="F135" s="476">
        <v>1.32</v>
      </c>
      <c r="G135" s="476">
        <v>1.01</v>
      </c>
      <c r="H135" s="476">
        <v>2.83</v>
      </c>
      <c r="I135" s="481" t="s">
        <v>1874</v>
      </c>
      <c r="J135" s="474">
        <f>ROUND((F135+G135)*2*H135-(1*0.6*2.1)-(1*0.6*0.65),2)</f>
        <v>11.54</v>
      </c>
    </row>
    <row r="136" spans="2:10" ht="30">
      <c r="B136" s="459"/>
      <c r="C136" s="278"/>
      <c r="D136" s="172"/>
      <c r="E136" s="278"/>
      <c r="F136" s="476">
        <v>1.32</v>
      </c>
      <c r="G136" s="476">
        <v>0.94</v>
      </c>
      <c r="H136" s="476">
        <v>2.83</v>
      </c>
      <c r="I136" s="481" t="s">
        <v>1874</v>
      </c>
      <c r="J136" s="474">
        <f>ROUND((F136+G136)*2*H136-(1*0.6*2.1)-(1*0.6*0.65),2)</f>
        <v>11.14</v>
      </c>
    </row>
    <row r="137" spans="2:10" ht="30">
      <c r="B137" s="459"/>
      <c r="C137" s="278"/>
      <c r="D137" s="172"/>
      <c r="E137" s="278"/>
      <c r="F137" s="476">
        <v>2.13</v>
      </c>
      <c r="G137" s="476">
        <v>1.02</v>
      </c>
      <c r="H137" s="476">
        <v>2.83</v>
      </c>
      <c r="I137" s="481" t="s">
        <v>1851</v>
      </c>
      <c r="J137" s="474">
        <f>ROUND((F137+G137)*2*H137-(2*0.6*2.1)-(1*0.7*2.1),2)</f>
        <v>13.84</v>
      </c>
    </row>
    <row r="138" spans="2:10" ht="30">
      <c r="B138" s="459"/>
      <c r="C138" s="278" t="s">
        <v>1738</v>
      </c>
      <c r="D138" s="172"/>
      <c r="E138" s="278"/>
      <c r="F138" s="476">
        <v>1.32</v>
      </c>
      <c r="G138" s="476">
        <v>1.01</v>
      </c>
      <c r="H138" s="476">
        <v>2.83</v>
      </c>
      <c r="I138" s="481" t="s">
        <v>1874</v>
      </c>
      <c r="J138" s="474">
        <f>ROUND((F138+G138)*2*H138-(1*0.6*2.1)-(1*0.6*0.65),2)</f>
        <v>11.54</v>
      </c>
    </row>
    <row r="139" spans="2:10" ht="30">
      <c r="B139" s="459"/>
      <c r="C139" s="278"/>
      <c r="D139" s="172"/>
      <c r="E139" s="278"/>
      <c r="F139" s="476">
        <v>1.32</v>
      </c>
      <c r="G139" s="476">
        <v>0.94</v>
      </c>
      <c r="H139" s="476">
        <v>2.83</v>
      </c>
      <c r="I139" s="481" t="s">
        <v>1874</v>
      </c>
      <c r="J139" s="474">
        <f>ROUND((F139+G139)*2*H139-(1*0.6*2.1)-(1*0.6*0.65),2)</f>
        <v>11.14</v>
      </c>
    </row>
    <row r="140" spans="2:10" ht="30">
      <c r="B140" s="459"/>
      <c r="C140" s="278"/>
      <c r="D140" s="172"/>
      <c r="E140" s="278"/>
      <c r="F140" s="476">
        <f>2.07+1.2</f>
        <v>3.2699999999999996</v>
      </c>
      <c r="G140" s="476">
        <v>2.37</v>
      </c>
      <c r="H140" s="476">
        <v>2.83</v>
      </c>
      <c r="I140" s="481" t="s">
        <v>1851</v>
      </c>
      <c r="J140" s="474">
        <f>ROUND((F140+G140)*2*H140-(2*0.6*2.1)-(1*0.7*2.1),2)</f>
        <v>27.93</v>
      </c>
    </row>
    <row r="141" spans="2:10" ht="30">
      <c r="B141" s="459"/>
      <c r="C141" s="278" t="s">
        <v>1737</v>
      </c>
      <c r="D141" s="172"/>
      <c r="E141" s="278"/>
      <c r="F141" s="476">
        <v>1.1499999999999999</v>
      </c>
      <c r="G141" s="476">
        <v>0.89</v>
      </c>
      <c r="H141" s="476">
        <v>2.83</v>
      </c>
      <c r="I141" s="481" t="s">
        <v>1874</v>
      </c>
      <c r="J141" s="474">
        <f>ROUND((F141+G141)*2*H141-(1*0.6*2.1)-(1*0.6*0.65),2)</f>
        <v>9.9</v>
      </c>
    </row>
    <row r="142" spans="2:10" ht="30">
      <c r="B142" s="459"/>
      <c r="C142" s="278"/>
      <c r="D142" s="172"/>
      <c r="E142" s="278"/>
      <c r="F142" s="476">
        <v>1.1499999999999999</v>
      </c>
      <c r="G142" s="476">
        <v>0.89</v>
      </c>
      <c r="H142" s="476">
        <v>2.83</v>
      </c>
      <c r="I142" s="481" t="s">
        <v>1874</v>
      </c>
      <c r="J142" s="474">
        <f>ROUND((F142+G142)*2*H142-(1*0.6*2.1)-(1*0.6*0.65),2)</f>
        <v>9.9</v>
      </c>
    </row>
    <row r="143" spans="2:10" ht="30">
      <c r="B143" s="459"/>
      <c r="C143" s="278"/>
      <c r="D143" s="172"/>
      <c r="E143" s="278"/>
      <c r="F143" s="476">
        <v>3.05</v>
      </c>
      <c r="G143" s="476">
        <v>1.93</v>
      </c>
      <c r="H143" s="476">
        <v>2.83</v>
      </c>
      <c r="I143" s="481" t="s">
        <v>1851</v>
      </c>
      <c r="J143" s="474">
        <f>ROUND((F143+G143)*2*H143-(2*0.6*2.1)-(1*0.7*2.1),2)</f>
        <v>24.2</v>
      </c>
    </row>
    <row r="144" spans="2:10" ht="15">
      <c r="B144" s="459"/>
      <c r="C144" s="278"/>
      <c r="D144" s="172"/>
      <c r="E144" s="278"/>
      <c r="F144" s="476">
        <f>0.9+0.15+0.9</f>
        <v>1.9500000000000002</v>
      </c>
      <c r="G144" s="476"/>
      <c r="H144" s="476">
        <v>1.2</v>
      </c>
      <c r="I144" s="481"/>
      <c r="J144" s="474">
        <f>ROUND(F144*H144,2)</f>
        <v>2.34</v>
      </c>
    </row>
    <row r="145" spans="2:10" ht="30">
      <c r="B145" s="459"/>
      <c r="C145" s="278" t="s">
        <v>1763</v>
      </c>
      <c r="D145" s="172"/>
      <c r="E145" s="278"/>
      <c r="F145" s="476">
        <v>1.1499999999999999</v>
      </c>
      <c r="G145" s="476">
        <v>0.96</v>
      </c>
      <c r="H145" s="476">
        <v>2.83</v>
      </c>
      <c r="I145" s="481" t="s">
        <v>1874</v>
      </c>
      <c r="J145" s="474">
        <f>ROUND((F145+G145)*2*H145-(1*0.6*2.1)-(1*0.6*0.65),2)</f>
        <v>10.29</v>
      </c>
    </row>
    <row r="146" spans="2:10" ht="30">
      <c r="B146" s="459"/>
      <c r="C146" s="278"/>
      <c r="D146" s="172"/>
      <c r="E146" s="278"/>
      <c r="F146" s="476">
        <v>1.1499999999999999</v>
      </c>
      <c r="G146" s="476">
        <v>0.96</v>
      </c>
      <c r="H146" s="476">
        <v>2.83</v>
      </c>
      <c r="I146" s="481" t="s">
        <v>1874</v>
      </c>
      <c r="J146" s="474">
        <f>ROUND((F146+G146)*2*H146-(1*0.6*2.1)-(1*0.6*0.65),2)</f>
        <v>10.29</v>
      </c>
    </row>
    <row r="147" spans="2:10" ht="30">
      <c r="B147" s="459"/>
      <c r="C147" s="278"/>
      <c r="D147" s="172"/>
      <c r="E147" s="278"/>
      <c r="F147" s="476">
        <v>3.05</v>
      </c>
      <c r="G147" s="476">
        <v>2.06</v>
      </c>
      <c r="H147" s="476">
        <v>2.83</v>
      </c>
      <c r="I147" s="481" t="s">
        <v>1851</v>
      </c>
      <c r="J147" s="474">
        <f>ROUND((F147+G147)*2*H147-(2*0.6*2.1)-(1*0.7*2.1),2)</f>
        <v>24.93</v>
      </c>
    </row>
    <row r="148" spans="2:10" ht="15">
      <c r="B148" s="459"/>
      <c r="C148" s="278"/>
      <c r="D148" s="172"/>
      <c r="E148" s="278"/>
      <c r="F148" s="476">
        <f>0.9+0.15+0.9</f>
        <v>1.9500000000000002</v>
      </c>
      <c r="G148" s="476"/>
      <c r="H148" s="476">
        <v>2.83</v>
      </c>
      <c r="I148" s="481"/>
      <c r="J148" s="474">
        <f>ROUND(F148*H148,2)</f>
        <v>5.52</v>
      </c>
    </row>
    <row r="149" spans="2:10" ht="30">
      <c r="B149" s="459"/>
      <c r="C149" s="278" t="s">
        <v>1739</v>
      </c>
      <c r="D149" s="172"/>
      <c r="E149" s="278"/>
      <c r="F149" s="476">
        <f>2.65*2+4.65</f>
        <v>9.9499999999999993</v>
      </c>
      <c r="G149" s="476"/>
      <c r="H149" s="476">
        <v>2.83</v>
      </c>
      <c r="I149" s="481" t="s">
        <v>1923</v>
      </c>
      <c r="J149" s="474">
        <f>ROUND((F149*H149)-(1*0.8*2.1)-(2*0.6*0.65),2)</f>
        <v>25.7</v>
      </c>
    </row>
    <row r="150" spans="2:10" ht="30">
      <c r="B150" s="459"/>
      <c r="C150" s="278" t="s">
        <v>1728</v>
      </c>
      <c r="D150" s="172"/>
      <c r="E150" s="278"/>
      <c r="F150" s="476">
        <f>2.3*2+3.27</f>
        <v>7.8699999999999992</v>
      </c>
      <c r="G150" s="476"/>
      <c r="H150" s="476">
        <v>2.83</v>
      </c>
      <c r="I150" s="481" t="s">
        <v>1922</v>
      </c>
      <c r="J150" s="474">
        <f>ROUND((F150*H150)-(1*0.8*2.1)-(1*0.9*2.1)-(2*0.6*0.65),2)</f>
        <v>17.920000000000002</v>
      </c>
    </row>
    <row r="151" spans="2:10" ht="15">
      <c r="B151" s="459"/>
      <c r="C151" s="278"/>
      <c r="D151" s="172"/>
      <c r="E151" s="278"/>
      <c r="F151" s="476"/>
      <c r="G151" s="476"/>
      <c r="H151" s="476"/>
      <c r="I151" s="475"/>
      <c r="J151" s="474"/>
    </row>
    <row r="152" spans="2:10" s="460" customFormat="1" ht="15">
      <c r="B152" s="464" t="s">
        <v>550</v>
      </c>
      <c r="C152" s="368" t="s">
        <v>1921</v>
      </c>
      <c r="D152" s="289" t="s">
        <v>610</v>
      </c>
      <c r="E152" s="368"/>
      <c r="F152" s="478"/>
      <c r="G152" s="478"/>
      <c r="H152" s="478"/>
      <c r="I152" s="477"/>
      <c r="J152" s="469"/>
    </row>
    <row r="153" spans="2:10" ht="15">
      <c r="B153" s="459"/>
      <c r="C153" s="278" t="s">
        <v>1920</v>
      </c>
      <c r="D153" s="172"/>
      <c r="E153" s="502">
        <v>0.5</v>
      </c>
      <c r="F153" s="476">
        <v>46.25</v>
      </c>
      <c r="G153" s="476">
        <v>19.25</v>
      </c>
      <c r="H153" s="476"/>
      <c r="I153" s="475"/>
      <c r="J153" s="474">
        <f>E153*F153*G153</f>
        <v>445.15625</v>
      </c>
    </row>
    <row r="154" spans="2:10" ht="15">
      <c r="B154" s="459"/>
      <c r="C154" s="278"/>
      <c r="D154" s="172"/>
      <c r="E154" s="278"/>
      <c r="F154" s="476"/>
      <c r="G154" s="476"/>
      <c r="H154" s="476"/>
      <c r="I154" s="475"/>
      <c r="J154" s="474"/>
    </row>
    <row r="155" spans="2:10" s="460" customFormat="1" ht="15">
      <c r="B155" s="464" t="s">
        <v>1154</v>
      </c>
      <c r="C155" s="368" t="s">
        <v>1919</v>
      </c>
      <c r="D155" s="289" t="s">
        <v>610</v>
      </c>
      <c r="E155" s="368"/>
      <c r="F155" s="478"/>
      <c r="G155" s="478"/>
      <c r="H155" s="478"/>
      <c r="I155" s="477"/>
      <c r="J155" s="469">
        <f>SUM(J156:J159)</f>
        <v>111.09</v>
      </c>
    </row>
    <row r="156" spans="2:10" ht="15">
      <c r="B156" s="459"/>
      <c r="C156" s="278" t="s">
        <v>1758</v>
      </c>
      <c r="D156" s="172"/>
      <c r="E156" s="278">
        <v>11</v>
      </c>
      <c r="F156" s="476">
        <v>0.6</v>
      </c>
      <c r="G156" s="476"/>
      <c r="H156" s="476">
        <v>2.1</v>
      </c>
      <c r="I156" s="479"/>
      <c r="J156" s="474">
        <f>E156*F156*H156</f>
        <v>13.86</v>
      </c>
    </row>
    <row r="157" spans="2:10" ht="15">
      <c r="B157" s="459"/>
      <c r="C157" s="278" t="s">
        <v>1757</v>
      </c>
      <c r="D157" s="172"/>
      <c r="E157" s="278">
        <v>5</v>
      </c>
      <c r="F157" s="476">
        <v>0.7</v>
      </c>
      <c r="G157" s="476"/>
      <c r="H157" s="476">
        <v>2.1</v>
      </c>
      <c r="I157" s="479"/>
      <c r="J157" s="474">
        <f>E157*F157*H157</f>
        <v>7.3500000000000005</v>
      </c>
    </row>
    <row r="158" spans="2:10" ht="15">
      <c r="B158" s="459"/>
      <c r="C158" s="278" t="s">
        <v>1756</v>
      </c>
      <c r="D158" s="172"/>
      <c r="E158" s="278">
        <v>49</v>
      </c>
      <c r="F158" s="476">
        <v>0.8</v>
      </c>
      <c r="G158" s="476"/>
      <c r="H158" s="476">
        <v>2.1</v>
      </c>
      <c r="I158" s="479"/>
      <c r="J158" s="474">
        <f>E158*F158*H158</f>
        <v>82.320000000000007</v>
      </c>
    </row>
    <row r="159" spans="2:10" ht="15">
      <c r="B159" s="459"/>
      <c r="C159" s="278" t="s">
        <v>1755</v>
      </c>
      <c r="D159" s="172"/>
      <c r="E159" s="278">
        <v>4</v>
      </c>
      <c r="F159" s="476">
        <v>0.9</v>
      </c>
      <c r="G159" s="476"/>
      <c r="H159" s="476">
        <v>2.1</v>
      </c>
      <c r="I159" s="479"/>
      <c r="J159" s="474">
        <f>E159*F159*H159</f>
        <v>7.5600000000000005</v>
      </c>
    </row>
    <row r="160" spans="2:10" ht="15">
      <c r="B160" s="459"/>
      <c r="C160" s="278"/>
      <c r="D160" s="172"/>
      <c r="E160" s="278"/>
      <c r="F160" s="476"/>
      <c r="G160" s="476"/>
      <c r="H160" s="476"/>
      <c r="I160" s="475"/>
      <c r="J160" s="474"/>
    </row>
    <row r="161" spans="2:10" s="460" customFormat="1" ht="15">
      <c r="B161" s="464" t="s">
        <v>1918</v>
      </c>
      <c r="C161" s="368" t="s">
        <v>1917</v>
      </c>
      <c r="D161" s="289" t="s">
        <v>610</v>
      </c>
      <c r="E161" s="368"/>
      <c r="F161" s="478"/>
      <c r="G161" s="478"/>
      <c r="H161" s="478"/>
      <c r="I161" s="477"/>
      <c r="J161" s="469">
        <f>SUM(J162:J243)</f>
        <v>778.62469999999996</v>
      </c>
    </row>
    <row r="162" spans="2:10" ht="15">
      <c r="B162" s="459"/>
      <c r="C162" s="278" t="s">
        <v>1801</v>
      </c>
      <c r="D162" s="172"/>
      <c r="E162" s="278"/>
      <c r="F162" s="476">
        <v>3</v>
      </c>
      <c r="G162" s="476">
        <f>2.5+0.15+1.61</f>
        <v>4.26</v>
      </c>
      <c r="H162" s="476"/>
      <c r="I162" s="475"/>
      <c r="J162" s="474">
        <f t="shared" ref="J162:J193" si="0">F162*G162</f>
        <v>12.78</v>
      </c>
    </row>
    <row r="163" spans="2:10" ht="15">
      <c r="B163" s="459"/>
      <c r="C163" s="278" t="s">
        <v>1750</v>
      </c>
      <c r="D163" s="172"/>
      <c r="E163" s="278"/>
      <c r="F163" s="476">
        <v>1.93</v>
      </c>
      <c r="G163" s="476">
        <v>6.23</v>
      </c>
      <c r="H163" s="476"/>
      <c r="I163" s="475"/>
      <c r="J163" s="474">
        <f t="shared" si="0"/>
        <v>12.023900000000001</v>
      </c>
    </row>
    <row r="164" spans="2:10" ht="15">
      <c r="B164" s="459"/>
      <c r="C164" s="278" t="s">
        <v>1749</v>
      </c>
      <c r="D164" s="172"/>
      <c r="E164" s="278"/>
      <c r="F164" s="476">
        <v>2.3199999999999998</v>
      </c>
      <c r="G164" s="476">
        <v>4.49</v>
      </c>
      <c r="H164" s="476"/>
      <c r="I164" s="475"/>
      <c r="J164" s="474">
        <f t="shared" si="0"/>
        <v>10.4168</v>
      </c>
    </row>
    <row r="165" spans="2:10" ht="15">
      <c r="B165" s="459"/>
      <c r="C165" s="278" t="s">
        <v>1800</v>
      </c>
      <c r="D165" s="172"/>
      <c r="E165" s="278"/>
      <c r="F165" s="476">
        <v>1.59</v>
      </c>
      <c r="G165" s="476">
        <v>1.0900000000000001</v>
      </c>
      <c r="H165" s="476"/>
      <c r="I165" s="475"/>
      <c r="J165" s="474">
        <f t="shared" si="0"/>
        <v>1.7331000000000003</v>
      </c>
    </row>
    <row r="166" spans="2:10" ht="15">
      <c r="B166" s="459"/>
      <c r="C166" s="278" t="s">
        <v>1799</v>
      </c>
      <c r="D166" s="172"/>
      <c r="E166" s="278"/>
      <c r="F166" s="476">
        <v>3</v>
      </c>
      <c r="G166" s="476">
        <v>1.59</v>
      </c>
      <c r="H166" s="476"/>
      <c r="I166" s="475"/>
      <c r="J166" s="474">
        <f t="shared" si="0"/>
        <v>4.7700000000000005</v>
      </c>
    </row>
    <row r="167" spans="2:10" ht="15">
      <c r="B167" s="459"/>
      <c r="C167" s="278" t="s">
        <v>1798</v>
      </c>
      <c r="D167" s="172"/>
      <c r="E167" s="278"/>
      <c r="F167" s="476">
        <v>3</v>
      </c>
      <c r="G167" s="476">
        <v>2.54</v>
      </c>
      <c r="H167" s="476"/>
      <c r="I167" s="475"/>
      <c r="J167" s="474">
        <f t="shared" si="0"/>
        <v>7.62</v>
      </c>
    </row>
    <row r="168" spans="2:10" ht="15">
      <c r="B168" s="459"/>
      <c r="C168" s="278"/>
      <c r="D168" s="172"/>
      <c r="E168" s="278"/>
      <c r="F168" s="476">
        <v>1.72</v>
      </c>
      <c r="G168" s="476">
        <v>1</v>
      </c>
      <c r="H168" s="476"/>
      <c r="I168" s="475"/>
      <c r="J168" s="474">
        <f t="shared" si="0"/>
        <v>1.72</v>
      </c>
    </row>
    <row r="169" spans="2:10" ht="15">
      <c r="B169" s="459"/>
      <c r="C169" s="278"/>
      <c r="D169" s="172"/>
      <c r="E169" s="278"/>
      <c r="F169" s="476">
        <v>1.72</v>
      </c>
      <c r="G169" s="476">
        <v>1.39</v>
      </c>
      <c r="H169" s="476"/>
      <c r="I169" s="475"/>
      <c r="J169" s="474">
        <f t="shared" si="0"/>
        <v>2.3907999999999996</v>
      </c>
    </row>
    <row r="170" spans="2:10" ht="15">
      <c r="B170" s="459"/>
      <c r="C170" s="278" t="s">
        <v>1797</v>
      </c>
      <c r="D170" s="172"/>
      <c r="E170" s="278"/>
      <c r="F170" s="476">
        <v>1.8</v>
      </c>
      <c r="G170" s="476">
        <v>3.07</v>
      </c>
      <c r="H170" s="476"/>
      <c r="I170" s="475"/>
      <c r="J170" s="474">
        <f t="shared" si="0"/>
        <v>5.5259999999999998</v>
      </c>
    </row>
    <row r="171" spans="2:10" ht="15">
      <c r="B171" s="459"/>
      <c r="C171" s="278" t="s">
        <v>1796</v>
      </c>
      <c r="D171" s="172"/>
      <c r="E171" s="278"/>
      <c r="F171" s="476">
        <v>1.8</v>
      </c>
      <c r="G171" s="476">
        <v>3.23</v>
      </c>
      <c r="H171" s="476"/>
      <c r="I171" s="475"/>
      <c r="J171" s="474">
        <f t="shared" si="0"/>
        <v>5.8140000000000001</v>
      </c>
    </row>
    <row r="172" spans="2:10" ht="15">
      <c r="B172" s="459"/>
      <c r="C172" s="278" t="s">
        <v>1795</v>
      </c>
      <c r="D172" s="172"/>
      <c r="E172" s="278"/>
      <c r="F172" s="476">
        <v>1.59</v>
      </c>
      <c r="G172" s="476">
        <v>3.23</v>
      </c>
      <c r="H172" s="476"/>
      <c r="I172" s="475"/>
      <c r="J172" s="474">
        <f t="shared" si="0"/>
        <v>5.1356999999999999</v>
      </c>
    </row>
    <row r="173" spans="2:10" ht="15">
      <c r="B173" s="459"/>
      <c r="C173" s="278"/>
      <c r="D173" s="172"/>
      <c r="E173" s="278"/>
      <c r="F173" s="476">
        <v>0.7</v>
      </c>
      <c r="G173" s="476">
        <v>0.74</v>
      </c>
      <c r="H173" s="476"/>
      <c r="I173" s="475"/>
      <c r="J173" s="474">
        <f t="shared" si="0"/>
        <v>0.51800000000000002</v>
      </c>
    </row>
    <row r="174" spans="2:10" ht="15">
      <c r="B174" s="459"/>
      <c r="C174" s="278"/>
      <c r="D174" s="172"/>
      <c r="E174" s="278"/>
      <c r="F174" s="476">
        <v>0.7</v>
      </c>
      <c r="G174" s="476">
        <v>0.7</v>
      </c>
      <c r="H174" s="476"/>
      <c r="I174" s="475"/>
      <c r="J174" s="474">
        <f t="shared" si="0"/>
        <v>0.48999999999999994</v>
      </c>
    </row>
    <row r="175" spans="2:10" ht="15">
      <c r="B175" s="459"/>
      <c r="C175" s="278" t="s">
        <v>1741</v>
      </c>
      <c r="D175" s="172"/>
      <c r="E175" s="278"/>
      <c r="F175" s="476">
        <v>2.94</v>
      </c>
      <c r="G175" s="476">
        <v>3.54</v>
      </c>
      <c r="H175" s="476"/>
      <c r="I175" s="475"/>
      <c r="J175" s="474">
        <f t="shared" si="0"/>
        <v>10.4076</v>
      </c>
    </row>
    <row r="176" spans="2:10" ht="15">
      <c r="B176" s="459"/>
      <c r="C176" s="278" t="s">
        <v>1740</v>
      </c>
      <c r="D176" s="172"/>
      <c r="E176" s="278"/>
      <c r="F176" s="476">
        <v>3</v>
      </c>
      <c r="G176" s="476">
        <v>3.54</v>
      </c>
      <c r="H176" s="476"/>
      <c r="I176" s="475"/>
      <c r="J176" s="474">
        <f t="shared" si="0"/>
        <v>10.620000000000001</v>
      </c>
    </row>
    <row r="177" spans="2:10" ht="15">
      <c r="B177" s="459"/>
      <c r="C177" s="278" t="s">
        <v>1794</v>
      </c>
      <c r="D177" s="172"/>
      <c r="E177" s="278"/>
      <c r="F177" s="476">
        <v>2.94</v>
      </c>
      <c r="G177" s="476">
        <v>3.54</v>
      </c>
      <c r="H177" s="476"/>
      <c r="I177" s="475"/>
      <c r="J177" s="474">
        <f t="shared" si="0"/>
        <v>10.4076</v>
      </c>
    </row>
    <row r="178" spans="2:10" ht="15">
      <c r="B178" s="459"/>
      <c r="C178" s="278"/>
      <c r="D178" s="172"/>
      <c r="E178" s="278"/>
      <c r="F178" s="476">
        <v>0.73</v>
      </c>
      <c r="G178" s="476">
        <v>0.74</v>
      </c>
      <c r="H178" s="476"/>
      <c r="I178" s="475"/>
      <c r="J178" s="474">
        <f t="shared" si="0"/>
        <v>0.54020000000000001</v>
      </c>
    </row>
    <row r="179" spans="2:10" ht="15">
      <c r="B179" s="459"/>
      <c r="C179" s="278"/>
      <c r="D179" s="172"/>
      <c r="E179" s="278"/>
      <c r="F179" s="476">
        <v>0.73</v>
      </c>
      <c r="G179" s="476">
        <v>0.7</v>
      </c>
      <c r="H179" s="476"/>
      <c r="I179" s="475"/>
      <c r="J179" s="474">
        <f t="shared" si="0"/>
        <v>0.51100000000000001</v>
      </c>
    </row>
    <row r="180" spans="2:10" ht="15">
      <c r="B180" s="459"/>
      <c r="C180" s="278" t="s">
        <v>1793</v>
      </c>
      <c r="D180" s="172"/>
      <c r="E180" s="278"/>
      <c r="F180" s="476">
        <v>3</v>
      </c>
      <c r="G180" s="476">
        <v>3.54</v>
      </c>
      <c r="H180" s="476"/>
      <c r="I180" s="475"/>
      <c r="J180" s="474">
        <f t="shared" si="0"/>
        <v>10.620000000000001</v>
      </c>
    </row>
    <row r="181" spans="2:10" ht="15">
      <c r="B181" s="459"/>
      <c r="C181" s="278"/>
      <c r="D181" s="172"/>
      <c r="E181" s="278"/>
      <c r="F181" s="476">
        <v>0.7</v>
      </c>
      <c r="G181" s="476">
        <v>0.74</v>
      </c>
      <c r="H181" s="476"/>
      <c r="I181" s="475"/>
      <c r="J181" s="474">
        <f t="shared" si="0"/>
        <v>0.51800000000000002</v>
      </c>
    </row>
    <row r="182" spans="2:10" ht="15">
      <c r="B182" s="459"/>
      <c r="C182" s="278"/>
      <c r="D182" s="172"/>
      <c r="E182" s="278"/>
      <c r="F182" s="476">
        <v>0.7</v>
      </c>
      <c r="G182" s="476">
        <v>0.7</v>
      </c>
      <c r="H182" s="476"/>
      <c r="I182" s="475"/>
      <c r="J182" s="474">
        <f t="shared" si="0"/>
        <v>0.48999999999999994</v>
      </c>
    </row>
    <row r="183" spans="2:10" ht="15">
      <c r="B183" s="459"/>
      <c r="C183" s="278" t="s">
        <v>1792</v>
      </c>
      <c r="D183" s="172"/>
      <c r="E183" s="278"/>
      <c r="F183" s="476">
        <v>3</v>
      </c>
      <c r="G183" s="476">
        <v>3.54</v>
      </c>
      <c r="H183" s="476"/>
      <c r="I183" s="475"/>
      <c r="J183" s="474">
        <f t="shared" si="0"/>
        <v>10.620000000000001</v>
      </c>
    </row>
    <row r="184" spans="2:10" ht="15">
      <c r="B184" s="459"/>
      <c r="C184" s="278"/>
      <c r="D184" s="172"/>
      <c r="E184" s="278"/>
      <c r="F184" s="476">
        <v>0.7</v>
      </c>
      <c r="G184" s="476">
        <v>0.74</v>
      </c>
      <c r="H184" s="476"/>
      <c r="I184" s="475"/>
      <c r="J184" s="474">
        <f t="shared" si="0"/>
        <v>0.51800000000000002</v>
      </c>
    </row>
    <row r="185" spans="2:10" ht="15">
      <c r="B185" s="459"/>
      <c r="C185" s="278"/>
      <c r="D185" s="172"/>
      <c r="E185" s="278"/>
      <c r="F185" s="476">
        <v>0.7</v>
      </c>
      <c r="G185" s="476">
        <v>0.7</v>
      </c>
      <c r="H185" s="476"/>
      <c r="I185" s="475"/>
      <c r="J185" s="474">
        <f t="shared" si="0"/>
        <v>0.48999999999999994</v>
      </c>
    </row>
    <row r="186" spans="2:10" ht="15">
      <c r="B186" s="459"/>
      <c r="C186" s="278" t="s">
        <v>1791</v>
      </c>
      <c r="D186" s="172"/>
      <c r="E186" s="278"/>
      <c r="F186" s="476">
        <v>30.86</v>
      </c>
      <c r="G186" s="476">
        <v>1</v>
      </c>
      <c r="H186" s="476"/>
      <c r="I186" s="475"/>
      <c r="J186" s="474">
        <f t="shared" si="0"/>
        <v>30.86</v>
      </c>
    </row>
    <row r="187" spans="2:10" ht="15">
      <c r="B187" s="459"/>
      <c r="C187" s="278" t="s">
        <v>1790</v>
      </c>
      <c r="D187" s="172"/>
      <c r="E187" s="278"/>
      <c r="F187" s="476">
        <v>3</v>
      </c>
      <c r="G187" s="476">
        <v>3.46</v>
      </c>
      <c r="H187" s="476"/>
      <c r="I187" s="475"/>
      <c r="J187" s="474">
        <f t="shared" si="0"/>
        <v>10.379999999999999</v>
      </c>
    </row>
    <row r="188" spans="2:10" ht="15">
      <c r="B188" s="459"/>
      <c r="C188" s="278"/>
      <c r="D188" s="172"/>
      <c r="E188" s="278"/>
      <c r="F188" s="476">
        <v>1.54</v>
      </c>
      <c r="G188" s="476">
        <v>0.89</v>
      </c>
      <c r="H188" s="476"/>
      <c r="I188" s="475"/>
      <c r="J188" s="474">
        <f t="shared" si="0"/>
        <v>1.3706</v>
      </c>
    </row>
    <row r="189" spans="2:10" ht="15">
      <c r="B189" s="459"/>
      <c r="C189" s="278" t="s">
        <v>1789</v>
      </c>
      <c r="D189" s="172"/>
      <c r="E189" s="278"/>
      <c r="F189" s="476">
        <v>3</v>
      </c>
      <c r="G189" s="476">
        <v>3.46</v>
      </c>
      <c r="H189" s="476"/>
      <c r="I189" s="475"/>
      <c r="J189" s="474">
        <f t="shared" si="0"/>
        <v>10.379999999999999</v>
      </c>
    </row>
    <row r="190" spans="2:10" ht="15">
      <c r="B190" s="459"/>
      <c r="C190" s="278"/>
      <c r="D190" s="172"/>
      <c r="E190" s="278"/>
      <c r="F190" s="476">
        <v>1.54</v>
      </c>
      <c r="G190" s="476">
        <v>0.59</v>
      </c>
      <c r="H190" s="476"/>
      <c r="I190" s="475"/>
      <c r="J190" s="474">
        <f t="shared" si="0"/>
        <v>0.90859999999999996</v>
      </c>
    </row>
    <row r="191" spans="2:10" ht="15">
      <c r="B191" s="459"/>
      <c r="C191" s="278" t="s">
        <v>1788</v>
      </c>
      <c r="D191" s="172"/>
      <c r="E191" s="278"/>
      <c r="F191" s="476">
        <v>3</v>
      </c>
      <c r="G191" s="476">
        <v>3.46</v>
      </c>
      <c r="H191" s="476"/>
      <c r="I191" s="475"/>
      <c r="J191" s="474">
        <f t="shared" si="0"/>
        <v>10.379999999999999</v>
      </c>
    </row>
    <row r="192" spans="2:10" ht="15">
      <c r="B192" s="459"/>
      <c r="C192" s="278"/>
      <c r="D192" s="172"/>
      <c r="E192" s="278"/>
      <c r="F192" s="476">
        <v>1.54</v>
      </c>
      <c r="G192" s="476">
        <v>0.89</v>
      </c>
      <c r="H192" s="476"/>
      <c r="I192" s="475"/>
      <c r="J192" s="474">
        <f t="shared" si="0"/>
        <v>1.3706</v>
      </c>
    </row>
    <row r="193" spans="2:10" ht="15">
      <c r="B193" s="459"/>
      <c r="C193" s="278" t="s">
        <v>1787</v>
      </c>
      <c r="D193" s="172"/>
      <c r="E193" s="278"/>
      <c r="F193" s="476">
        <v>3</v>
      </c>
      <c r="G193" s="476">
        <v>3.46</v>
      </c>
      <c r="H193" s="476"/>
      <c r="I193" s="475"/>
      <c r="J193" s="474">
        <f t="shared" si="0"/>
        <v>10.379999999999999</v>
      </c>
    </row>
    <row r="194" spans="2:10" ht="15">
      <c r="B194" s="459"/>
      <c r="C194" s="278"/>
      <c r="D194" s="172"/>
      <c r="E194" s="278"/>
      <c r="F194" s="476">
        <v>1.54</v>
      </c>
      <c r="G194" s="476">
        <v>0.59</v>
      </c>
      <c r="H194" s="476"/>
      <c r="I194" s="475"/>
      <c r="J194" s="474">
        <f t="shared" ref="J194:J225" si="1">F194*G194</f>
        <v>0.90859999999999996</v>
      </c>
    </row>
    <row r="195" spans="2:10" ht="15">
      <c r="B195" s="459"/>
      <c r="C195" s="278" t="s">
        <v>1786</v>
      </c>
      <c r="D195" s="172"/>
      <c r="E195" s="278"/>
      <c r="F195" s="476">
        <v>3</v>
      </c>
      <c r="G195" s="476">
        <v>3.46</v>
      </c>
      <c r="H195" s="476"/>
      <c r="I195" s="475"/>
      <c r="J195" s="474">
        <f t="shared" si="1"/>
        <v>10.379999999999999</v>
      </c>
    </row>
    <row r="196" spans="2:10" ht="15">
      <c r="B196" s="459"/>
      <c r="C196" s="278"/>
      <c r="D196" s="172"/>
      <c r="E196" s="278"/>
      <c r="F196" s="476">
        <v>1.54</v>
      </c>
      <c r="G196" s="476">
        <v>0.89</v>
      </c>
      <c r="H196" s="476"/>
      <c r="I196" s="475"/>
      <c r="J196" s="474">
        <f t="shared" si="1"/>
        <v>1.3706</v>
      </c>
    </row>
    <row r="197" spans="2:10" ht="15">
      <c r="B197" s="459"/>
      <c r="C197" s="278" t="s">
        <v>1785</v>
      </c>
      <c r="D197" s="172"/>
      <c r="E197" s="278"/>
      <c r="F197" s="476">
        <v>3</v>
      </c>
      <c r="G197" s="476">
        <v>3.46</v>
      </c>
      <c r="H197" s="476"/>
      <c r="I197" s="475"/>
      <c r="J197" s="474">
        <f t="shared" si="1"/>
        <v>10.379999999999999</v>
      </c>
    </row>
    <row r="198" spans="2:10" ht="15">
      <c r="B198" s="459"/>
      <c r="C198" s="278"/>
      <c r="D198" s="172"/>
      <c r="E198" s="278"/>
      <c r="F198" s="476">
        <v>1.54</v>
      </c>
      <c r="G198" s="476">
        <v>0.59</v>
      </c>
      <c r="H198" s="476"/>
      <c r="I198" s="475"/>
      <c r="J198" s="474">
        <f t="shared" si="1"/>
        <v>0.90859999999999996</v>
      </c>
    </row>
    <row r="199" spans="2:10" ht="15">
      <c r="B199" s="459"/>
      <c r="C199" s="278" t="s">
        <v>1784</v>
      </c>
      <c r="D199" s="172"/>
      <c r="E199" s="278"/>
      <c r="F199" s="476">
        <v>3</v>
      </c>
      <c r="G199" s="476">
        <v>3.46</v>
      </c>
      <c r="H199" s="476"/>
      <c r="I199" s="475"/>
      <c r="J199" s="474">
        <f t="shared" si="1"/>
        <v>10.379999999999999</v>
      </c>
    </row>
    <row r="200" spans="2:10" ht="15">
      <c r="B200" s="459"/>
      <c r="C200" s="278"/>
      <c r="D200" s="172"/>
      <c r="E200" s="278"/>
      <c r="F200" s="476">
        <v>1.54</v>
      </c>
      <c r="G200" s="476">
        <v>0.89</v>
      </c>
      <c r="H200" s="476"/>
      <c r="I200" s="475"/>
      <c r="J200" s="474">
        <f t="shared" si="1"/>
        <v>1.3706</v>
      </c>
    </row>
    <row r="201" spans="2:10" ht="15">
      <c r="B201" s="459"/>
      <c r="C201" s="278" t="s">
        <v>1783</v>
      </c>
      <c r="D201" s="172"/>
      <c r="E201" s="278"/>
      <c r="F201" s="476">
        <v>3.61</v>
      </c>
      <c r="G201" s="476">
        <v>3.01</v>
      </c>
      <c r="H201" s="476"/>
      <c r="I201" s="475"/>
      <c r="J201" s="474">
        <f t="shared" si="1"/>
        <v>10.866099999999999</v>
      </c>
    </row>
    <row r="202" spans="2:10" ht="15">
      <c r="B202" s="459"/>
      <c r="C202" s="278"/>
      <c r="D202" s="172"/>
      <c r="E202" s="278"/>
      <c r="F202" s="476">
        <v>1.54</v>
      </c>
      <c r="G202" s="476">
        <v>0.56000000000000005</v>
      </c>
      <c r="H202" s="476"/>
      <c r="I202" s="475"/>
      <c r="J202" s="474">
        <f t="shared" si="1"/>
        <v>0.86240000000000006</v>
      </c>
    </row>
    <row r="203" spans="2:10" ht="15">
      <c r="B203" s="459"/>
      <c r="C203" s="278" t="s">
        <v>1782</v>
      </c>
      <c r="D203" s="172"/>
      <c r="E203" s="278"/>
      <c r="F203" s="476">
        <v>28.62</v>
      </c>
      <c r="G203" s="476">
        <v>2.27</v>
      </c>
      <c r="H203" s="476"/>
      <c r="I203" s="475"/>
      <c r="J203" s="474">
        <f t="shared" si="1"/>
        <v>64.967399999999998</v>
      </c>
    </row>
    <row r="204" spans="2:10" ht="15">
      <c r="B204" s="459"/>
      <c r="C204" s="278" t="s">
        <v>1781</v>
      </c>
      <c r="D204" s="172"/>
      <c r="E204" s="278"/>
      <c r="F204" s="476">
        <v>2.95</v>
      </c>
      <c r="G204" s="476">
        <v>7.84</v>
      </c>
      <c r="H204" s="476"/>
      <c r="I204" s="475"/>
      <c r="J204" s="474">
        <f t="shared" si="1"/>
        <v>23.128</v>
      </c>
    </row>
    <row r="205" spans="2:10" ht="15">
      <c r="B205" s="459"/>
      <c r="C205" s="278"/>
      <c r="D205" s="172"/>
      <c r="E205" s="278"/>
      <c r="F205" s="476">
        <v>15.64</v>
      </c>
      <c r="G205" s="476">
        <v>7</v>
      </c>
      <c r="H205" s="476"/>
      <c r="I205" s="475"/>
      <c r="J205" s="474">
        <f t="shared" si="1"/>
        <v>109.48</v>
      </c>
    </row>
    <row r="206" spans="2:10" ht="15">
      <c r="B206" s="459"/>
      <c r="C206" s="278"/>
      <c r="D206" s="172"/>
      <c r="E206" s="278"/>
      <c r="F206" s="476">
        <v>2.11</v>
      </c>
      <c r="G206" s="476">
        <v>4.3499999999999996</v>
      </c>
      <c r="H206" s="476"/>
      <c r="I206" s="475"/>
      <c r="J206" s="474">
        <f t="shared" si="1"/>
        <v>9.1784999999999979</v>
      </c>
    </row>
    <row r="207" spans="2:10" ht="15">
      <c r="B207" s="459"/>
      <c r="C207" s="278" t="s">
        <v>1780</v>
      </c>
      <c r="D207" s="172"/>
      <c r="E207" s="278"/>
      <c r="F207" s="476">
        <v>2.92</v>
      </c>
      <c r="G207" s="476">
        <v>2.1</v>
      </c>
      <c r="H207" s="476"/>
      <c r="I207" s="475"/>
      <c r="J207" s="474">
        <f t="shared" si="1"/>
        <v>6.1319999999999997</v>
      </c>
    </row>
    <row r="208" spans="2:10" ht="15">
      <c r="B208" s="459"/>
      <c r="C208" s="278" t="s">
        <v>1779</v>
      </c>
      <c r="D208" s="172"/>
      <c r="E208" s="278"/>
      <c r="F208" s="476">
        <v>2.92</v>
      </c>
      <c r="G208" s="476">
        <v>2.92</v>
      </c>
      <c r="H208" s="476"/>
      <c r="I208" s="475"/>
      <c r="J208" s="474">
        <f t="shared" si="1"/>
        <v>8.5263999999999989</v>
      </c>
    </row>
    <row r="209" spans="2:10" ht="15">
      <c r="B209" s="459"/>
      <c r="C209" s="278" t="s">
        <v>1778</v>
      </c>
      <c r="D209" s="172"/>
      <c r="E209" s="278"/>
      <c r="F209" s="476">
        <v>2.92</v>
      </c>
      <c r="G209" s="476">
        <v>5.38</v>
      </c>
      <c r="H209" s="476"/>
      <c r="I209" s="475"/>
      <c r="J209" s="474">
        <f t="shared" si="1"/>
        <v>15.7096</v>
      </c>
    </row>
    <row r="210" spans="2:10" ht="15">
      <c r="B210" s="459"/>
      <c r="C210" s="278" t="s">
        <v>1777</v>
      </c>
      <c r="D210" s="172"/>
      <c r="E210" s="278"/>
      <c r="F210" s="476">
        <v>3</v>
      </c>
      <c r="G210" s="476">
        <v>5.15</v>
      </c>
      <c r="H210" s="476"/>
      <c r="I210" s="475"/>
      <c r="J210" s="474">
        <f t="shared" si="1"/>
        <v>15.450000000000001</v>
      </c>
    </row>
    <row r="211" spans="2:10" ht="15">
      <c r="B211" s="459"/>
      <c r="C211" s="278" t="s">
        <v>1776</v>
      </c>
      <c r="D211" s="172"/>
      <c r="E211" s="278"/>
      <c r="F211" s="476">
        <v>1.1599999999999999</v>
      </c>
      <c r="G211" s="476">
        <v>1.85</v>
      </c>
      <c r="H211" s="476"/>
      <c r="I211" s="475"/>
      <c r="J211" s="474">
        <f t="shared" si="1"/>
        <v>2.1459999999999999</v>
      </c>
    </row>
    <row r="212" spans="2:10" ht="15">
      <c r="B212" s="459"/>
      <c r="C212" s="278" t="s">
        <v>1775</v>
      </c>
      <c r="D212" s="172"/>
      <c r="E212" s="278"/>
      <c r="F212" s="476">
        <v>3.79</v>
      </c>
      <c r="G212" s="476">
        <v>1</v>
      </c>
      <c r="H212" s="476"/>
      <c r="I212" s="475"/>
      <c r="J212" s="474">
        <f t="shared" si="1"/>
        <v>3.79</v>
      </c>
    </row>
    <row r="213" spans="2:10" ht="15">
      <c r="B213" s="459"/>
      <c r="C213" s="278" t="s">
        <v>1774</v>
      </c>
      <c r="D213" s="172"/>
      <c r="E213" s="278"/>
      <c r="F213" s="476">
        <v>3</v>
      </c>
      <c r="G213" s="476">
        <v>5.21</v>
      </c>
      <c r="H213" s="476"/>
      <c r="I213" s="475"/>
      <c r="J213" s="474">
        <f t="shared" si="1"/>
        <v>15.629999999999999</v>
      </c>
    </row>
    <row r="214" spans="2:10" ht="15">
      <c r="B214" s="459"/>
      <c r="C214" s="278" t="s">
        <v>1773</v>
      </c>
      <c r="D214" s="172"/>
      <c r="E214" s="278"/>
      <c r="F214" s="476">
        <v>5.15</v>
      </c>
      <c r="G214" s="476">
        <v>5.15</v>
      </c>
      <c r="H214" s="476"/>
      <c r="I214" s="475"/>
      <c r="J214" s="474">
        <f t="shared" si="1"/>
        <v>26.522500000000004</v>
      </c>
    </row>
    <row r="215" spans="2:10" ht="15">
      <c r="B215" s="459"/>
      <c r="C215" s="278" t="s">
        <v>1772</v>
      </c>
      <c r="D215" s="172"/>
      <c r="E215" s="278"/>
      <c r="F215" s="476">
        <v>3.45</v>
      </c>
      <c r="G215" s="476">
        <v>2.25</v>
      </c>
      <c r="H215" s="476"/>
      <c r="I215" s="475"/>
      <c r="J215" s="474">
        <f t="shared" si="1"/>
        <v>7.7625000000000002</v>
      </c>
    </row>
    <row r="216" spans="2:10" ht="15">
      <c r="B216" s="459"/>
      <c r="C216" s="278"/>
      <c r="D216" s="172"/>
      <c r="E216" s="278"/>
      <c r="F216" s="476">
        <v>1.7</v>
      </c>
      <c r="G216" s="476">
        <v>1.53</v>
      </c>
      <c r="H216" s="476"/>
      <c r="I216" s="475"/>
      <c r="J216" s="474">
        <f t="shared" si="1"/>
        <v>2.601</v>
      </c>
    </row>
    <row r="217" spans="2:10" ht="15">
      <c r="B217" s="459"/>
      <c r="C217" s="278" t="s">
        <v>1771</v>
      </c>
      <c r="D217" s="172"/>
      <c r="E217" s="278"/>
      <c r="F217" s="476">
        <v>3.07</v>
      </c>
      <c r="G217" s="476">
        <v>3.45</v>
      </c>
      <c r="H217" s="476"/>
      <c r="I217" s="475"/>
      <c r="J217" s="474">
        <f t="shared" si="1"/>
        <v>10.5915</v>
      </c>
    </row>
    <row r="218" spans="2:10" ht="15">
      <c r="B218" s="459"/>
      <c r="C218" s="278"/>
      <c r="D218" s="172"/>
      <c r="E218" s="278"/>
      <c r="F218" s="476">
        <v>1.7</v>
      </c>
      <c r="G218" s="476">
        <v>2.17</v>
      </c>
      <c r="H218" s="476"/>
      <c r="I218" s="475"/>
      <c r="J218" s="474">
        <f t="shared" si="1"/>
        <v>3.6889999999999996</v>
      </c>
    </row>
    <row r="219" spans="2:10" ht="15">
      <c r="B219" s="459"/>
      <c r="C219" s="278" t="s">
        <v>1745</v>
      </c>
      <c r="D219" s="172"/>
      <c r="E219" s="278"/>
      <c r="F219" s="476">
        <v>2.8</v>
      </c>
      <c r="G219" s="476">
        <v>2.2799999999999998</v>
      </c>
      <c r="H219" s="476"/>
      <c r="I219" s="475"/>
      <c r="J219" s="474">
        <f t="shared" si="1"/>
        <v>6.3839999999999995</v>
      </c>
    </row>
    <row r="220" spans="2:10" ht="15">
      <c r="B220" s="459"/>
      <c r="C220" s="278" t="s">
        <v>1744</v>
      </c>
      <c r="D220" s="172"/>
      <c r="E220" s="278"/>
      <c r="F220" s="476">
        <v>2.2000000000000002</v>
      </c>
      <c r="G220" s="476">
        <v>4.43</v>
      </c>
      <c r="H220" s="476"/>
      <c r="I220" s="475"/>
      <c r="J220" s="474">
        <f t="shared" si="1"/>
        <v>9.7460000000000004</v>
      </c>
    </row>
    <row r="221" spans="2:10" ht="15">
      <c r="B221" s="459"/>
      <c r="C221" s="278" t="s">
        <v>1770</v>
      </c>
      <c r="D221" s="172"/>
      <c r="E221" s="278"/>
      <c r="F221" s="476">
        <v>2</v>
      </c>
      <c r="G221" s="476">
        <v>2.8</v>
      </c>
      <c r="H221" s="476"/>
      <c r="I221" s="475"/>
      <c r="J221" s="474">
        <f t="shared" si="1"/>
        <v>5.6</v>
      </c>
    </row>
    <row r="222" spans="2:10" ht="15">
      <c r="B222" s="459"/>
      <c r="C222" s="278" t="s">
        <v>1743</v>
      </c>
      <c r="D222" s="172"/>
      <c r="E222" s="278"/>
      <c r="F222" s="476">
        <v>12.98</v>
      </c>
      <c r="G222" s="476">
        <v>5.15</v>
      </c>
      <c r="H222" s="476"/>
      <c r="I222" s="475"/>
      <c r="J222" s="474">
        <f t="shared" si="1"/>
        <v>66.847000000000008</v>
      </c>
    </row>
    <row r="223" spans="2:10" ht="15">
      <c r="B223" s="459"/>
      <c r="C223" s="278" t="s">
        <v>1769</v>
      </c>
      <c r="D223" s="172"/>
      <c r="E223" s="278"/>
      <c r="F223" s="476">
        <v>1.0900000000000001</v>
      </c>
      <c r="G223" s="476">
        <v>1.85</v>
      </c>
      <c r="H223" s="476"/>
      <c r="I223" s="475"/>
      <c r="J223" s="474">
        <f t="shared" si="1"/>
        <v>2.0165000000000002</v>
      </c>
    </row>
    <row r="224" spans="2:10" ht="15">
      <c r="B224" s="459"/>
      <c r="C224" s="278" t="s">
        <v>1768</v>
      </c>
      <c r="D224" s="172"/>
      <c r="E224" s="278"/>
      <c r="F224" s="476">
        <v>1.0900000000000001</v>
      </c>
      <c r="G224" s="476">
        <v>1.85</v>
      </c>
      <c r="H224" s="476"/>
      <c r="I224" s="475"/>
      <c r="J224" s="474">
        <f t="shared" si="1"/>
        <v>2.0165000000000002</v>
      </c>
    </row>
    <row r="225" spans="2:10" ht="15">
      <c r="B225" s="459"/>
      <c r="C225" s="278" t="s">
        <v>1767</v>
      </c>
      <c r="D225" s="172"/>
      <c r="E225" s="278"/>
      <c r="F225" s="476">
        <v>1.72</v>
      </c>
      <c r="G225" s="476">
        <v>1.39</v>
      </c>
      <c r="H225" s="476"/>
      <c r="I225" s="475"/>
      <c r="J225" s="474">
        <f t="shared" si="1"/>
        <v>2.3907999999999996</v>
      </c>
    </row>
    <row r="226" spans="2:10" ht="15">
      <c r="B226" s="459"/>
      <c r="C226" s="278" t="s">
        <v>1766</v>
      </c>
      <c r="D226" s="172"/>
      <c r="E226" s="278"/>
      <c r="F226" s="476">
        <v>1.1499999999999999</v>
      </c>
      <c r="G226" s="476">
        <v>1.59</v>
      </c>
      <c r="H226" s="476"/>
      <c r="I226" s="475"/>
      <c r="J226" s="474">
        <f t="shared" ref="J226:J243" si="2">F226*G226</f>
        <v>1.8285</v>
      </c>
    </row>
    <row r="227" spans="2:10" ht="15">
      <c r="B227" s="459"/>
      <c r="C227" s="278" t="s">
        <v>1765</v>
      </c>
      <c r="D227" s="172"/>
      <c r="E227" s="278"/>
      <c r="F227" s="476">
        <v>1.55</v>
      </c>
      <c r="G227" s="476">
        <v>1.47</v>
      </c>
      <c r="H227" s="476"/>
      <c r="I227" s="475"/>
      <c r="J227" s="474">
        <f t="shared" si="2"/>
        <v>2.2785000000000002</v>
      </c>
    </row>
    <row r="228" spans="2:10" ht="15">
      <c r="B228" s="459"/>
      <c r="C228" s="278" t="s">
        <v>1764</v>
      </c>
      <c r="D228" s="172"/>
      <c r="E228" s="278"/>
      <c r="F228" s="476">
        <v>1.01</v>
      </c>
      <c r="G228" s="476">
        <v>1.32</v>
      </c>
      <c r="H228" s="476"/>
      <c r="I228" s="475"/>
      <c r="J228" s="474">
        <f t="shared" si="2"/>
        <v>1.3332000000000002</v>
      </c>
    </row>
    <row r="229" spans="2:10" ht="15">
      <c r="B229" s="459"/>
      <c r="C229" s="278"/>
      <c r="D229" s="172"/>
      <c r="E229" s="278"/>
      <c r="F229" s="476">
        <v>0.94</v>
      </c>
      <c r="G229" s="476">
        <v>1.32</v>
      </c>
      <c r="H229" s="476"/>
      <c r="I229" s="475"/>
      <c r="J229" s="474">
        <f t="shared" si="2"/>
        <v>1.2407999999999999</v>
      </c>
    </row>
    <row r="230" spans="2:10" ht="15">
      <c r="B230" s="459"/>
      <c r="C230" s="278"/>
      <c r="D230" s="172"/>
      <c r="E230" s="278"/>
      <c r="F230" s="476">
        <v>2.13</v>
      </c>
      <c r="G230" s="476">
        <v>1.02</v>
      </c>
      <c r="H230" s="476"/>
      <c r="I230" s="475"/>
      <c r="J230" s="474">
        <f t="shared" si="2"/>
        <v>2.1726000000000001</v>
      </c>
    </row>
    <row r="231" spans="2:10" ht="15">
      <c r="B231" s="459"/>
      <c r="C231" s="278" t="s">
        <v>1738</v>
      </c>
      <c r="D231" s="172"/>
      <c r="E231" s="278"/>
      <c r="F231" s="476">
        <v>0.94</v>
      </c>
      <c r="G231" s="476">
        <v>1.32</v>
      </c>
      <c r="H231" s="476"/>
      <c r="I231" s="475"/>
      <c r="J231" s="474">
        <f t="shared" si="2"/>
        <v>1.2407999999999999</v>
      </c>
    </row>
    <row r="232" spans="2:10" ht="15">
      <c r="B232" s="459"/>
      <c r="C232" s="278"/>
      <c r="D232" s="172"/>
      <c r="E232" s="278"/>
      <c r="F232" s="476">
        <v>1.01</v>
      </c>
      <c r="G232" s="476">
        <v>1.32</v>
      </c>
      <c r="H232" s="476"/>
      <c r="I232" s="475"/>
      <c r="J232" s="474">
        <f t="shared" si="2"/>
        <v>1.3332000000000002</v>
      </c>
    </row>
    <row r="233" spans="2:10" ht="15">
      <c r="B233" s="459"/>
      <c r="C233" s="278"/>
      <c r="D233" s="172"/>
      <c r="E233" s="278"/>
      <c r="F233" s="476">
        <v>2.37</v>
      </c>
      <c r="G233" s="476">
        <v>2.0699999999999998</v>
      </c>
      <c r="H233" s="476"/>
      <c r="I233" s="475"/>
      <c r="J233" s="474">
        <f t="shared" si="2"/>
        <v>4.9058999999999999</v>
      </c>
    </row>
    <row r="234" spans="2:10" ht="15">
      <c r="B234" s="459"/>
      <c r="C234" s="278"/>
      <c r="D234" s="172"/>
      <c r="E234" s="278"/>
      <c r="F234" s="476">
        <v>1.2</v>
      </c>
      <c r="G234" s="476">
        <v>1.2</v>
      </c>
      <c r="H234" s="476"/>
      <c r="I234" s="475"/>
      <c r="J234" s="474">
        <f t="shared" si="2"/>
        <v>1.44</v>
      </c>
    </row>
    <row r="235" spans="2:10" ht="15">
      <c r="B235" s="459"/>
      <c r="C235" s="278" t="s">
        <v>1737</v>
      </c>
      <c r="D235" s="172"/>
      <c r="E235" s="278"/>
      <c r="F235" s="476">
        <v>0.89</v>
      </c>
      <c r="G235" s="476">
        <v>1.1499999999999999</v>
      </c>
      <c r="H235" s="476"/>
      <c r="I235" s="475"/>
      <c r="J235" s="474">
        <f t="shared" si="2"/>
        <v>1.0234999999999999</v>
      </c>
    </row>
    <row r="236" spans="2:10" ht="15">
      <c r="B236" s="459"/>
      <c r="C236" s="278"/>
      <c r="D236" s="172"/>
      <c r="E236" s="278"/>
      <c r="F236" s="476">
        <v>0.89</v>
      </c>
      <c r="G236" s="476">
        <v>1.1499999999999999</v>
      </c>
      <c r="H236" s="476"/>
      <c r="I236" s="475"/>
      <c r="J236" s="474">
        <f t="shared" si="2"/>
        <v>1.0234999999999999</v>
      </c>
    </row>
    <row r="237" spans="2:10" ht="15">
      <c r="B237" s="459"/>
      <c r="C237" s="278"/>
      <c r="D237" s="172"/>
      <c r="E237" s="278"/>
      <c r="F237" s="476">
        <v>3.05</v>
      </c>
      <c r="G237" s="476">
        <v>1.93</v>
      </c>
      <c r="H237" s="476"/>
      <c r="I237" s="475"/>
      <c r="J237" s="474">
        <f t="shared" si="2"/>
        <v>5.8864999999999998</v>
      </c>
    </row>
    <row r="238" spans="2:10" ht="15">
      <c r="B238" s="459"/>
      <c r="C238" s="278" t="s">
        <v>1763</v>
      </c>
      <c r="D238" s="172"/>
      <c r="E238" s="278"/>
      <c r="F238" s="476">
        <v>0.95</v>
      </c>
      <c r="G238" s="476">
        <v>1.1499999999999999</v>
      </c>
      <c r="H238" s="476"/>
      <c r="I238" s="475"/>
      <c r="J238" s="474">
        <f t="shared" si="2"/>
        <v>1.0924999999999998</v>
      </c>
    </row>
    <row r="239" spans="2:10" ht="15">
      <c r="B239" s="459"/>
      <c r="C239" s="278"/>
      <c r="D239" s="172"/>
      <c r="E239" s="278"/>
      <c r="F239" s="476">
        <v>0.95</v>
      </c>
      <c r="G239" s="476">
        <v>1.1499999999999999</v>
      </c>
      <c r="H239" s="476"/>
      <c r="I239" s="475"/>
      <c r="J239" s="474">
        <f t="shared" si="2"/>
        <v>1.0924999999999998</v>
      </c>
    </row>
    <row r="240" spans="2:10" ht="15">
      <c r="B240" s="459"/>
      <c r="C240" s="278"/>
      <c r="D240" s="172"/>
      <c r="E240" s="278"/>
      <c r="F240" s="476">
        <v>3.05</v>
      </c>
      <c r="G240" s="476">
        <v>2.21</v>
      </c>
      <c r="H240" s="476"/>
      <c r="I240" s="475"/>
      <c r="J240" s="474">
        <f t="shared" si="2"/>
        <v>6.7404999999999999</v>
      </c>
    </row>
    <row r="241" spans="2:10" ht="15">
      <c r="B241" s="459"/>
      <c r="C241" s="278" t="s">
        <v>1739</v>
      </c>
      <c r="D241" s="172"/>
      <c r="E241" s="278"/>
      <c r="F241" s="476">
        <v>2.66</v>
      </c>
      <c r="G241" s="476">
        <v>4.3499999999999996</v>
      </c>
      <c r="H241" s="476"/>
      <c r="I241" s="475"/>
      <c r="J241" s="474">
        <f t="shared" si="2"/>
        <v>11.571</v>
      </c>
    </row>
    <row r="242" spans="2:10" ht="15">
      <c r="B242" s="459"/>
      <c r="C242" s="278" t="s">
        <v>1728</v>
      </c>
      <c r="D242" s="172"/>
      <c r="E242" s="278"/>
      <c r="F242" s="476">
        <v>2.2999999999999998</v>
      </c>
      <c r="G242" s="476">
        <v>3.27</v>
      </c>
      <c r="H242" s="476"/>
      <c r="I242" s="475"/>
      <c r="J242" s="474">
        <f t="shared" si="2"/>
        <v>7.520999999999999</v>
      </c>
    </row>
    <row r="243" spans="2:10" ht="15">
      <c r="B243" s="459"/>
      <c r="C243" s="278" t="s">
        <v>1762</v>
      </c>
      <c r="D243" s="172"/>
      <c r="E243" s="278"/>
      <c r="F243" s="476">
        <v>21.44</v>
      </c>
      <c r="G243" s="476">
        <v>2.54</v>
      </c>
      <c r="H243" s="476"/>
      <c r="I243" s="475"/>
      <c r="J243" s="474">
        <f t="shared" si="2"/>
        <v>54.457600000000006</v>
      </c>
    </row>
    <row r="244" spans="2:10" ht="15">
      <c r="B244" s="459"/>
      <c r="C244" s="278"/>
      <c r="D244" s="172"/>
      <c r="E244" s="278"/>
      <c r="F244" s="476"/>
      <c r="G244" s="476"/>
      <c r="H244" s="476"/>
      <c r="I244" s="475"/>
      <c r="J244" s="474"/>
    </row>
    <row r="245" spans="2:10" s="460" customFormat="1" ht="15">
      <c r="B245" s="464" t="s">
        <v>1894</v>
      </c>
      <c r="C245" s="368" t="s">
        <v>1916</v>
      </c>
      <c r="D245" s="289" t="s">
        <v>610</v>
      </c>
      <c r="E245" s="368"/>
      <c r="F245" s="478"/>
      <c r="G245" s="478"/>
      <c r="H245" s="478"/>
      <c r="I245" s="477"/>
      <c r="J245" s="469">
        <f>SUM(J246+J334)</f>
        <v>1799.6517999999999</v>
      </c>
    </row>
    <row r="246" spans="2:10" s="460" customFormat="1" ht="15">
      <c r="B246" s="464"/>
      <c r="C246" s="368" t="s">
        <v>1842</v>
      </c>
      <c r="D246" s="289"/>
      <c r="E246" s="368"/>
      <c r="F246" s="478"/>
      <c r="G246" s="478"/>
      <c r="H246" s="478"/>
      <c r="I246" s="477"/>
      <c r="J246" s="469">
        <f>SUM(J247:J332)</f>
        <v>1202.4799999999998</v>
      </c>
    </row>
    <row r="247" spans="2:10" ht="15">
      <c r="B247" s="459"/>
      <c r="C247" s="278" t="s">
        <v>1801</v>
      </c>
      <c r="D247" s="172"/>
      <c r="E247" s="278"/>
      <c r="F247" s="476">
        <v>3</v>
      </c>
      <c r="G247" s="476">
        <f>2.5+0.15+1.61</f>
        <v>4.26</v>
      </c>
      <c r="H247" s="476">
        <f t="shared" ref="H247:H278" si="3">2.83-1.2</f>
        <v>1.6300000000000001</v>
      </c>
      <c r="I247" s="479" t="s">
        <v>1912</v>
      </c>
      <c r="J247" s="474">
        <f>ROUND(((F247+G247)*2*H247)-(2*0.8*0.9),2)</f>
        <v>22.23</v>
      </c>
    </row>
    <row r="248" spans="2:10" ht="15">
      <c r="B248" s="459"/>
      <c r="C248" s="278" t="s">
        <v>1750</v>
      </c>
      <c r="D248" s="172"/>
      <c r="E248" s="278"/>
      <c r="F248" s="476">
        <v>1.83</v>
      </c>
      <c r="G248" s="476">
        <v>6.23</v>
      </c>
      <c r="H248" s="476">
        <f t="shared" si="3"/>
        <v>1.6300000000000001</v>
      </c>
      <c r="I248" s="479" t="s">
        <v>1903</v>
      </c>
      <c r="J248" s="474">
        <f>ROUND(((F248+G248)*2*H248)-(1*0.8*0.9),2)</f>
        <v>25.56</v>
      </c>
    </row>
    <row r="249" spans="2:10" ht="15">
      <c r="B249" s="459"/>
      <c r="C249" s="278"/>
      <c r="D249" s="172"/>
      <c r="E249" s="278"/>
      <c r="F249" s="476">
        <f>0.8+0.15+0.8</f>
        <v>1.75</v>
      </c>
      <c r="G249" s="476"/>
      <c r="H249" s="476">
        <f t="shared" si="3"/>
        <v>1.6300000000000001</v>
      </c>
      <c r="I249" s="479"/>
      <c r="J249" s="474">
        <f>ROUND(F249*H249,2)</f>
        <v>2.85</v>
      </c>
    </row>
    <row r="250" spans="2:10" ht="15">
      <c r="B250" s="459"/>
      <c r="C250" s="278" t="s">
        <v>1749</v>
      </c>
      <c r="D250" s="172"/>
      <c r="E250" s="278"/>
      <c r="F250" s="476">
        <v>2.3199999999999998</v>
      </c>
      <c r="G250" s="476">
        <v>4.49</v>
      </c>
      <c r="H250" s="476">
        <f t="shared" si="3"/>
        <v>1.6300000000000001</v>
      </c>
      <c r="I250" s="479" t="s">
        <v>1912</v>
      </c>
      <c r="J250" s="474">
        <f>ROUND(((F250+G250)*2*H250)-(2*0.8*0.9),2)</f>
        <v>20.76</v>
      </c>
    </row>
    <row r="251" spans="2:10" ht="15">
      <c r="B251" s="459"/>
      <c r="C251" s="278" t="s">
        <v>1800</v>
      </c>
      <c r="D251" s="172"/>
      <c r="E251" s="278"/>
      <c r="F251" s="476">
        <v>1.59</v>
      </c>
      <c r="G251" s="476">
        <v>1.0900000000000001</v>
      </c>
      <c r="H251" s="476">
        <f t="shared" si="3"/>
        <v>1.6300000000000001</v>
      </c>
      <c r="I251" s="479" t="s">
        <v>1912</v>
      </c>
      <c r="J251" s="474">
        <f>ROUND(((F251+G251)*2*H251)-(2*0.8*0.9),2)</f>
        <v>7.3</v>
      </c>
    </row>
    <row r="252" spans="2:10" ht="15">
      <c r="B252" s="459"/>
      <c r="C252" s="278" t="s">
        <v>1799</v>
      </c>
      <c r="D252" s="172"/>
      <c r="E252" s="278"/>
      <c r="F252" s="476">
        <v>3</v>
      </c>
      <c r="G252" s="476">
        <v>1.59</v>
      </c>
      <c r="H252" s="476">
        <f t="shared" si="3"/>
        <v>1.6300000000000001</v>
      </c>
      <c r="I252" s="479" t="s">
        <v>1903</v>
      </c>
      <c r="J252" s="474">
        <f>ROUND(((F252+G252)*2*H252)-(1*0.8*0.9),2)</f>
        <v>14.24</v>
      </c>
    </row>
    <row r="253" spans="2:10" ht="15">
      <c r="B253" s="459"/>
      <c r="C253" s="278" t="s">
        <v>1798</v>
      </c>
      <c r="D253" s="172"/>
      <c r="E253" s="278"/>
      <c r="F253" s="476">
        <v>3</v>
      </c>
      <c r="G253" s="476"/>
      <c r="H253" s="476">
        <f t="shared" si="3"/>
        <v>1.6300000000000001</v>
      </c>
      <c r="I253" s="481"/>
      <c r="J253" s="474">
        <f>ROUND((F253*H253),2)</f>
        <v>4.8899999999999997</v>
      </c>
    </row>
    <row r="254" spans="2:10" ht="15">
      <c r="B254" s="459"/>
      <c r="C254" s="278"/>
      <c r="D254" s="172"/>
      <c r="E254" s="278"/>
      <c r="F254" s="476">
        <v>1.8</v>
      </c>
      <c r="G254" s="476"/>
      <c r="H254" s="476">
        <f t="shared" si="3"/>
        <v>1.6300000000000001</v>
      </c>
      <c r="I254" s="479"/>
      <c r="J254" s="474">
        <f>ROUND((F254*H254),2)</f>
        <v>2.93</v>
      </c>
    </row>
    <row r="255" spans="2:10" ht="15">
      <c r="B255" s="459"/>
      <c r="C255" s="278"/>
      <c r="D255" s="172"/>
      <c r="E255" s="278"/>
      <c r="F255" s="476">
        <f>1.54+1</f>
        <v>2.54</v>
      </c>
      <c r="G255" s="476"/>
      <c r="H255" s="476">
        <f t="shared" si="3"/>
        <v>1.6300000000000001</v>
      </c>
      <c r="I255" s="479"/>
      <c r="J255" s="474">
        <f>ROUND((F255*H255),2)</f>
        <v>4.1399999999999997</v>
      </c>
    </row>
    <row r="256" spans="2:10" ht="15">
      <c r="B256" s="459"/>
      <c r="C256" s="278"/>
      <c r="D256" s="172"/>
      <c r="E256" s="278"/>
      <c r="F256" s="476">
        <v>2.0699999999999998</v>
      </c>
      <c r="G256" s="476"/>
      <c r="H256" s="476">
        <f t="shared" si="3"/>
        <v>1.6300000000000001</v>
      </c>
      <c r="I256" s="479"/>
      <c r="J256" s="474">
        <f>ROUND((F256*H256),2)</f>
        <v>3.37</v>
      </c>
    </row>
    <row r="257" spans="2:10" ht="15">
      <c r="B257" s="459"/>
      <c r="C257" s="278"/>
      <c r="D257" s="172"/>
      <c r="E257" s="278"/>
      <c r="F257" s="476">
        <v>1.87</v>
      </c>
      <c r="G257" s="476"/>
      <c r="H257" s="476">
        <f t="shared" si="3"/>
        <v>1.6300000000000001</v>
      </c>
      <c r="I257" s="479" t="s">
        <v>1906</v>
      </c>
      <c r="J257" s="474">
        <f>ROUND((F257*H257)-(1*0.6*0.9),2)</f>
        <v>2.5099999999999998</v>
      </c>
    </row>
    <row r="258" spans="2:10" ht="15">
      <c r="B258" s="459"/>
      <c r="C258" s="278"/>
      <c r="D258" s="172"/>
      <c r="E258" s="278"/>
      <c r="F258" s="476">
        <v>2.54</v>
      </c>
      <c r="G258" s="476"/>
      <c r="H258" s="476">
        <f t="shared" si="3"/>
        <v>1.6300000000000001</v>
      </c>
      <c r="I258" s="479" t="s">
        <v>1903</v>
      </c>
      <c r="J258" s="474">
        <f>ROUND((F258*H258)-(1*0.8*0.9),2)</f>
        <v>3.42</v>
      </c>
    </row>
    <row r="259" spans="2:10" ht="15">
      <c r="B259" s="459"/>
      <c r="C259" s="278" t="s">
        <v>1797</v>
      </c>
      <c r="D259" s="172"/>
      <c r="E259" s="278"/>
      <c r="F259" s="476">
        <v>1.8</v>
      </c>
      <c r="G259" s="476">
        <v>3.07</v>
      </c>
      <c r="H259" s="476">
        <f t="shared" si="3"/>
        <v>1.6300000000000001</v>
      </c>
      <c r="I259" s="479" t="s">
        <v>1895</v>
      </c>
      <c r="J259" s="474">
        <f>ROUND(((F259+G259)*2*H259)-(1*1*0.9),2)</f>
        <v>14.98</v>
      </c>
    </row>
    <row r="260" spans="2:10" ht="15">
      <c r="B260" s="459"/>
      <c r="C260" s="278" t="s">
        <v>1796</v>
      </c>
      <c r="D260" s="172"/>
      <c r="E260" s="278"/>
      <c r="F260" s="476">
        <v>1.8</v>
      </c>
      <c r="G260" s="476">
        <v>3.23</v>
      </c>
      <c r="H260" s="476">
        <f t="shared" si="3"/>
        <v>1.6300000000000001</v>
      </c>
      <c r="I260" s="479" t="s">
        <v>1915</v>
      </c>
      <c r="J260" s="474">
        <f>ROUND(((F260+G260)*2*H260)-(1*0.8*0.9)-(1*1.23*0.9),2)</f>
        <v>14.57</v>
      </c>
    </row>
    <row r="261" spans="2:10" ht="30">
      <c r="B261" s="459"/>
      <c r="C261" s="278" t="s">
        <v>1795</v>
      </c>
      <c r="D261" s="172"/>
      <c r="E261" s="278"/>
      <c r="F261" s="476">
        <v>1.59</v>
      </c>
      <c r="G261" s="476">
        <v>3.93</v>
      </c>
      <c r="H261" s="476">
        <f t="shared" si="3"/>
        <v>1.6300000000000001</v>
      </c>
      <c r="I261" s="481" t="s">
        <v>1914</v>
      </c>
      <c r="J261" s="474">
        <f>ROUND(((F261+G261)*2*H261)-(1*0.8*0.9)-(1*1.23*0.9)-(1*0.6*0.9),2)</f>
        <v>15.63</v>
      </c>
    </row>
    <row r="262" spans="2:10" ht="15">
      <c r="B262" s="459"/>
      <c r="C262" s="278"/>
      <c r="D262" s="172"/>
      <c r="E262" s="278">
        <v>2</v>
      </c>
      <c r="F262" s="476">
        <v>0.7</v>
      </c>
      <c r="G262" s="476"/>
      <c r="H262" s="476">
        <f t="shared" si="3"/>
        <v>1.6300000000000001</v>
      </c>
      <c r="I262" s="475"/>
      <c r="J262" s="474">
        <f>ROUND(E262*F262*H262,2)</f>
        <v>2.2799999999999998</v>
      </c>
    </row>
    <row r="263" spans="2:10" ht="15">
      <c r="B263" s="459"/>
      <c r="C263" s="278" t="s">
        <v>1741</v>
      </c>
      <c r="D263" s="172"/>
      <c r="E263" s="278"/>
      <c r="F263" s="476">
        <v>2.94</v>
      </c>
      <c r="G263" s="476">
        <v>3.54</v>
      </c>
      <c r="H263" s="476">
        <f t="shared" si="3"/>
        <v>1.6300000000000001</v>
      </c>
      <c r="I263" s="479" t="s">
        <v>1912</v>
      </c>
      <c r="J263" s="474">
        <f>ROUND(((F263+G263)*2*H263)-(2*0.8*0.9),2)</f>
        <v>19.68</v>
      </c>
    </row>
    <row r="264" spans="2:10" ht="15">
      <c r="B264" s="459"/>
      <c r="C264" s="278"/>
      <c r="D264" s="172"/>
      <c r="E264" s="278">
        <v>4</v>
      </c>
      <c r="F264" s="476">
        <v>0.7</v>
      </c>
      <c r="G264" s="476"/>
      <c r="H264" s="476">
        <f t="shared" si="3"/>
        <v>1.6300000000000001</v>
      </c>
      <c r="I264" s="479"/>
      <c r="J264" s="474">
        <f>ROUND(E264*F264*H264,2)</f>
        <v>4.5599999999999996</v>
      </c>
    </row>
    <row r="265" spans="2:10" ht="15">
      <c r="B265" s="459"/>
      <c r="C265" s="278" t="s">
        <v>1740</v>
      </c>
      <c r="D265" s="172"/>
      <c r="E265" s="278"/>
      <c r="F265" s="476">
        <v>3</v>
      </c>
      <c r="G265" s="476">
        <v>3.54</v>
      </c>
      <c r="H265" s="476">
        <f t="shared" si="3"/>
        <v>1.6300000000000001</v>
      </c>
      <c r="I265" s="479" t="s">
        <v>1912</v>
      </c>
      <c r="J265" s="474">
        <f>ROUND(((F265+G265)*2*H265)-(2*0.8*0.9),2)</f>
        <v>19.88</v>
      </c>
    </row>
    <row r="266" spans="2:10" ht="15">
      <c r="B266" s="459"/>
      <c r="C266" s="278"/>
      <c r="D266" s="172"/>
      <c r="E266" s="278">
        <v>4</v>
      </c>
      <c r="F266" s="476">
        <v>0.7</v>
      </c>
      <c r="G266" s="476"/>
      <c r="H266" s="476">
        <f t="shared" si="3"/>
        <v>1.6300000000000001</v>
      </c>
      <c r="I266" s="479"/>
      <c r="J266" s="474">
        <f>ROUND(E266*F266*H266,2)</f>
        <v>4.5599999999999996</v>
      </c>
    </row>
    <row r="267" spans="2:10" ht="15">
      <c r="B267" s="459"/>
      <c r="C267" s="278" t="s">
        <v>1794</v>
      </c>
      <c r="D267" s="172"/>
      <c r="E267" s="278"/>
      <c r="F267" s="476">
        <v>2.94</v>
      </c>
      <c r="G267" s="476">
        <v>3.54</v>
      </c>
      <c r="H267" s="476">
        <f t="shared" si="3"/>
        <v>1.6300000000000001</v>
      </c>
      <c r="I267" s="479" t="s">
        <v>1912</v>
      </c>
      <c r="J267" s="474">
        <f>ROUND(((F267+G267)*2*H267)-(2*0.8*0.9),2)</f>
        <v>19.68</v>
      </c>
    </row>
    <row r="268" spans="2:10" ht="15">
      <c r="B268" s="459"/>
      <c r="C268" s="278"/>
      <c r="D268" s="172"/>
      <c r="E268" s="278">
        <v>4</v>
      </c>
      <c r="F268" s="476">
        <v>0.7</v>
      </c>
      <c r="G268" s="476"/>
      <c r="H268" s="476">
        <f t="shared" si="3"/>
        <v>1.6300000000000001</v>
      </c>
      <c r="I268" s="479"/>
      <c r="J268" s="474">
        <f>ROUND(E268*F268*H268,2)</f>
        <v>4.5599999999999996</v>
      </c>
    </row>
    <row r="269" spans="2:10" ht="15">
      <c r="B269" s="459"/>
      <c r="C269" s="278" t="s">
        <v>1793</v>
      </c>
      <c r="D269" s="172"/>
      <c r="E269" s="278"/>
      <c r="F269" s="476">
        <v>3</v>
      </c>
      <c r="G269" s="476">
        <v>3.54</v>
      </c>
      <c r="H269" s="476">
        <f t="shared" si="3"/>
        <v>1.6300000000000001</v>
      </c>
      <c r="I269" s="479" t="s">
        <v>1912</v>
      </c>
      <c r="J269" s="474">
        <f>ROUND(((F269+G269)*2*H269)-(2*0.8*0.9),2)</f>
        <v>19.88</v>
      </c>
    </row>
    <row r="270" spans="2:10" ht="15">
      <c r="B270" s="459"/>
      <c r="C270" s="278"/>
      <c r="D270" s="172"/>
      <c r="E270" s="278">
        <v>4</v>
      </c>
      <c r="F270" s="476">
        <v>0.7</v>
      </c>
      <c r="G270" s="476"/>
      <c r="H270" s="476">
        <f t="shared" si="3"/>
        <v>1.6300000000000001</v>
      </c>
      <c r="I270" s="479"/>
      <c r="J270" s="474">
        <f>ROUND(E270*F270*H270,2)</f>
        <v>4.5599999999999996</v>
      </c>
    </row>
    <row r="271" spans="2:10" ht="15">
      <c r="B271" s="459"/>
      <c r="C271" s="278" t="s">
        <v>1792</v>
      </c>
      <c r="D271" s="172"/>
      <c r="E271" s="278"/>
      <c r="F271" s="476">
        <v>3</v>
      </c>
      <c r="G271" s="476">
        <v>3.54</v>
      </c>
      <c r="H271" s="476">
        <f t="shared" si="3"/>
        <v>1.6300000000000001</v>
      </c>
      <c r="I271" s="479" t="s">
        <v>1912</v>
      </c>
      <c r="J271" s="474">
        <f>ROUND(((F271+G271)*2*H271)-(2*0.8*0.9),2)</f>
        <v>19.88</v>
      </c>
    </row>
    <row r="272" spans="2:10" ht="15">
      <c r="B272" s="459"/>
      <c r="C272" s="278"/>
      <c r="D272" s="172"/>
      <c r="E272" s="278">
        <v>4</v>
      </c>
      <c r="F272" s="476">
        <v>0.7</v>
      </c>
      <c r="G272" s="476"/>
      <c r="H272" s="476">
        <f t="shared" si="3"/>
        <v>1.6300000000000001</v>
      </c>
      <c r="I272" s="479"/>
      <c r="J272" s="474">
        <f>ROUND(E272*F272*H272,2)</f>
        <v>4.5599999999999996</v>
      </c>
    </row>
    <row r="273" spans="2:10" ht="15">
      <c r="B273" s="459"/>
      <c r="C273" s="278" t="s">
        <v>1791</v>
      </c>
      <c r="D273" s="172"/>
      <c r="E273" s="278"/>
      <c r="F273" s="476">
        <v>30.86</v>
      </c>
      <c r="G273" s="476">
        <v>1</v>
      </c>
      <c r="H273" s="476">
        <f t="shared" si="3"/>
        <v>1.6300000000000001</v>
      </c>
      <c r="I273" s="479" t="s">
        <v>1913</v>
      </c>
      <c r="J273" s="474">
        <f>ROUND(((F273+G273)*2*H273)-(15*0.8*0.9),2)</f>
        <v>93.06</v>
      </c>
    </row>
    <row r="274" spans="2:10" ht="15">
      <c r="B274" s="459"/>
      <c r="C274" s="278" t="s">
        <v>1790</v>
      </c>
      <c r="D274" s="172"/>
      <c r="E274" s="278"/>
      <c r="F274" s="476">
        <v>3.15</v>
      </c>
      <c r="G274" s="476">
        <v>3.46</v>
      </c>
      <c r="H274" s="476">
        <f t="shared" si="3"/>
        <v>1.6300000000000001</v>
      </c>
      <c r="I274" s="479" t="s">
        <v>1912</v>
      </c>
      <c r="J274" s="474">
        <f>ROUND(((F274+G274)*2*H274)-(2*0.8*0.9),2)</f>
        <v>20.11</v>
      </c>
    </row>
    <row r="275" spans="2:10" ht="15">
      <c r="B275" s="459"/>
      <c r="C275" s="278"/>
      <c r="D275" s="172"/>
      <c r="E275" s="278">
        <v>4</v>
      </c>
      <c r="F275" s="476">
        <v>0.89</v>
      </c>
      <c r="G275" s="476"/>
      <c r="H275" s="476">
        <f t="shared" si="3"/>
        <v>1.6300000000000001</v>
      </c>
      <c r="I275" s="475"/>
      <c r="J275" s="474">
        <f>ROUND(E275*F275*H275,2)</f>
        <v>5.8</v>
      </c>
    </row>
    <row r="276" spans="2:10" ht="15">
      <c r="B276" s="459"/>
      <c r="C276" s="278" t="s">
        <v>1789</v>
      </c>
      <c r="D276" s="172"/>
      <c r="E276" s="278"/>
      <c r="F276" s="476">
        <v>3</v>
      </c>
      <c r="G276" s="476">
        <v>3.46</v>
      </c>
      <c r="H276" s="476">
        <f t="shared" si="3"/>
        <v>1.6300000000000001</v>
      </c>
      <c r="I276" s="479" t="s">
        <v>1912</v>
      </c>
      <c r="J276" s="474">
        <f>ROUND(((F276+G276)*2*H276)-(2*0.8*0.9),2)</f>
        <v>19.62</v>
      </c>
    </row>
    <row r="277" spans="2:10" ht="15">
      <c r="B277" s="459"/>
      <c r="C277" s="278"/>
      <c r="D277" s="172"/>
      <c r="E277" s="278">
        <v>2</v>
      </c>
      <c r="F277" s="476">
        <v>0.56000000000000005</v>
      </c>
      <c r="G277" s="476"/>
      <c r="H277" s="476">
        <f t="shared" si="3"/>
        <v>1.6300000000000001</v>
      </c>
      <c r="I277" s="475"/>
      <c r="J277" s="474">
        <f>ROUND(E277*F277*H277,2)</f>
        <v>1.83</v>
      </c>
    </row>
    <row r="278" spans="2:10" ht="15">
      <c r="B278" s="459"/>
      <c r="C278" s="278"/>
      <c r="D278" s="172"/>
      <c r="E278" s="278">
        <v>2</v>
      </c>
      <c r="F278" s="476">
        <v>0.89</v>
      </c>
      <c r="G278" s="476"/>
      <c r="H278" s="476">
        <f t="shared" si="3"/>
        <v>1.6300000000000001</v>
      </c>
      <c r="I278" s="475"/>
      <c r="J278" s="474">
        <f>ROUND(E278*F278*H278,2)</f>
        <v>2.9</v>
      </c>
    </row>
    <row r="279" spans="2:10" ht="15">
      <c r="B279" s="459"/>
      <c r="C279" s="278" t="s">
        <v>1788</v>
      </c>
      <c r="D279" s="172"/>
      <c r="E279" s="278"/>
      <c r="F279" s="476">
        <v>3</v>
      </c>
      <c r="G279" s="476">
        <v>3.46</v>
      </c>
      <c r="H279" s="476">
        <f t="shared" ref="H279:H310" si="4">2.83-1.2</f>
        <v>1.6300000000000001</v>
      </c>
      <c r="I279" s="479" t="s">
        <v>1903</v>
      </c>
      <c r="J279" s="474">
        <f>ROUND(((F279+G279)*2*H279)-(1*0.8*0.9),2)</f>
        <v>20.34</v>
      </c>
    </row>
    <row r="280" spans="2:10" ht="15">
      <c r="B280" s="459"/>
      <c r="C280" s="278"/>
      <c r="D280" s="172"/>
      <c r="E280" s="278">
        <v>2</v>
      </c>
      <c r="F280" s="476">
        <v>0.89</v>
      </c>
      <c r="G280" s="476"/>
      <c r="H280" s="476">
        <f t="shared" si="4"/>
        <v>1.6300000000000001</v>
      </c>
      <c r="I280" s="475"/>
      <c r="J280" s="474">
        <f>ROUND(E280*F280*H280,2)</f>
        <v>2.9</v>
      </c>
    </row>
    <row r="281" spans="2:10" ht="15">
      <c r="B281" s="459"/>
      <c r="C281" s="278" t="s">
        <v>1787</v>
      </c>
      <c r="D281" s="172"/>
      <c r="E281" s="278"/>
      <c r="F281" s="476">
        <v>3</v>
      </c>
      <c r="G281" s="476">
        <v>3.46</v>
      </c>
      <c r="H281" s="476">
        <f t="shared" si="4"/>
        <v>1.6300000000000001</v>
      </c>
      <c r="I281" s="479" t="s">
        <v>1903</v>
      </c>
      <c r="J281" s="474">
        <f>ROUND(((F281+G281)*2*H281)-(1*0.8*0.9),2)</f>
        <v>20.34</v>
      </c>
    </row>
    <row r="282" spans="2:10" ht="15">
      <c r="B282" s="459"/>
      <c r="C282" s="278"/>
      <c r="D282" s="172"/>
      <c r="E282" s="278">
        <v>2</v>
      </c>
      <c r="F282" s="476">
        <v>0.89</v>
      </c>
      <c r="G282" s="476"/>
      <c r="H282" s="476">
        <f t="shared" si="4"/>
        <v>1.6300000000000001</v>
      </c>
      <c r="I282" s="475"/>
      <c r="J282" s="474">
        <f>ROUND(E282*F282*H282,2)</f>
        <v>2.9</v>
      </c>
    </row>
    <row r="283" spans="2:10" ht="15">
      <c r="B283" s="459"/>
      <c r="C283" s="278" t="s">
        <v>1786</v>
      </c>
      <c r="D283" s="172"/>
      <c r="E283" s="278"/>
      <c r="F283" s="476">
        <v>3</v>
      </c>
      <c r="G283" s="476">
        <v>3.46</v>
      </c>
      <c r="H283" s="476">
        <f t="shared" si="4"/>
        <v>1.6300000000000001</v>
      </c>
      <c r="I283" s="479" t="s">
        <v>1912</v>
      </c>
      <c r="J283" s="474">
        <f>ROUND(((F283+G283)*2*H283)-(2*0.8*0.9),2)</f>
        <v>19.62</v>
      </c>
    </row>
    <row r="284" spans="2:10" ht="15">
      <c r="B284" s="459"/>
      <c r="C284" s="278"/>
      <c r="D284" s="172"/>
      <c r="E284" s="278">
        <v>4</v>
      </c>
      <c r="F284" s="476">
        <v>0.89</v>
      </c>
      <c r="G284" s="476"/>
      <c r="H284" s="476">
        <f t="shared" si="4"/>
        <v>1.6300000000000001</v>
      </c>
      <c r="I284" s="475"/>
      <c r="J284" s="474">
        <f>ROUND(E284*F284*H284,2)</f>
        <v>5.8</v>
      </c>
    </row>
    <row r="285" spans="2:10" ht="15">
      <c r="B285" s="459"/>
      <c r="C285" s="278" t="s">
        <v>1785</v>
      </c>
      <c r="D285" s="172"/>
      <c r="E285" s="278"/>
      <c r="F285" s="476">
        <v>3</v>
      </c>
      <c r="G285" s="476">
        <v>3.46</v>
      </c>
      <c r="H285" s="476">
        <f t="shared" si="4"/>
        <v>1.6300000000000001</v>
      </c>
      <c r="I285" s="479" t="s">
        <v>1912</v>
      </c>
      <c r="J285" s="474">
        <f>ROUND(((F285+G285)*2*H285)-(2*0.8*0.9),2)</f>
        <v>19.62</v>
      </c>
    </row>
    <row r="286" spans="2:10" ht="15">
      <c r="B286" s="459"/>
      <c r="C286" s="278"/>
      <c r="D286" s="172"/>
      <c r="E286" s="278">
        <v>2</v>
      </c>
      <c r="F286" s="476">
        <v>0.56000000000000005</v>
      </c>
      <c r="G286" s="476"/>
      <c r="H286" s="476">
        <f t="shared" si="4"/>
        <v>1.6300000000000001</v>
      </c>
      <c r="I286" s="475"/>
      <c r="J286" s="474">
        <f>ROUND(E286*F286*H286,2)</f>
        <v>1.83</v>
      </c>
    </row>
    <row r="287" spans="2:10" ht="15">
      <c r="B287" s="459"/>
      <c r="C287" s="278"/>
      <c r="D287" s="172"/>
      <c r="E287" s="278">
        <v>2</v>
      </c>
      <c r="F287" s="476">
        <v>0.89</v>
      </c>
      <c r="G287" s="476"/>
      <c r="H287" s="476">
        <f t="shared" si="4"/>
        <v>1.6300000000000001</v>
      </c>
      <c r="I287" s="475"/>
      <c r="J287" s="474">
        <f>ROUND(E287*F287*H287,2)</f>
        <v>2.9</v>
      </c>
    </row>
    <row r="288" spans="2:10" ht="15">
      <c r="B288" s="459"/>
      <c r="C288" s="278" t="s">
        <v>1784</v>
      </c>
      <c r="D288" s="172"/>
      <c r="E288" s="278"/>
      <c r="F288" s="476">
        <v>3</v>
      </c>
      <c r="G288" s="476">
        <v>3.46</v>
      </c>
      <c r="H288" s="476">
        <f t="shared" si="4"/>
        <v>1.6300000000000001</v>
      </c>
      <c r="I288" s="479" t="s">
        <v>1912</v>
      </c>
      <c r="J288" s="474">
        <f>ROUND(((F288+G288)*2*H288)-(2*0.8*0.9),2)</f>
        <v>19.62</v>
      </c>
    </row>
    <row r="289" spans="2:10" ht="15">
      <c r="B289" s="459"/>
      <c r="C289" s="278"/>
      <c r="D289" s="172"/>
      <c r="E289" s="278">
        <v>4</v>
      </c>
      <c r="F289" s="476">
        <v>0.89</v>
      </c>
      <c r="G289" s="476"/>
      <c r="H289" s="476">
        <f t="shared" si="4"/>
        <v>1.6300000000000001</v>
      </c>
      <c r="I289" s="475"/>
      <c r="J289" s="474">
        <f>ROUND(E289*F289*H289,2)</f>
        <v>5.8</v>
      </c>
    </row>
    <row r="290" spans="2:10" ht="15">
      <c r="B290" s="459"/>
      <c r="C290" s="278" t="s">
        <v>1783</v>
      </c>
      <c r="D290" s="172"/>
      <c r="E290" s="278"/>
      <c r="F290" s="476">
        <v>3.01</v>
      </c>
      <c r="G290" s="476">
        <v>3.46</v>
      </c>
      <c r="H290" s="476">
        <f t="shared" si="4"/>
        <v>1.6300000000000001</v>
      </c>
      <c r="I290" s="479" t="s">
        <v>1903</v>
      </c>
      <c r="J290" s="474">
        <f>ROUND(((F290+G290)*2*H290)-(1*0.8*0.9),2)</f>
        <v>20.37</v>
      </c>
    </row>
    <row r="291" spans="2:10" ht="15">
      <c r="B291" s="459"/>
      <c r="C291" s="278"/>
      <c r="D291" s="172"/>
      <c r="E291" s="278">
        <v>2</v>
      </c>
      <c r="F291" s="476">
        <v>0.56000000000000005</v>
      </c>
      <c r="G291" s="476"/>
      <c r="H291" s="476">
        <f t="shared" si="4"/>
        <v>1.6300000000000001</v>
      </c>
      <c r="I291" s="475"/>
      <c r="J291" s="474">
        <f>ROUND(E291*F291*H291,2)</f>
        <v>1.83</v>
      </c>
    </row>
    <row r="292" spans="2:10" ht="15">
      <c r="B292" s="459"/>
      <c r="C292" s="278" t="s">
        <v>1782</v>
      </c>
      <c r="D292" s="172"/>
      <c r="E292" s="278"/>
      <c r="F292" s="476">
        <v>28.62</v>
      </c>
      <c r="G292" s="476">
        <v>2.27</v>
      </c>
      <c r="H292" s="476">
        <f t="shared" si="4"/>
        <v>1.6300000000000001</v>
      </c>
      <c r="I292" s="479" t="s">
        <v>1911</v>
      </c>
      <c r="J292" s="474">
        <f>ROUND(((F292+G292)*2*H292)-(13*0.8*0.9)-(2.27*0.9),2)</f>
        <v>89.3</v>
      </c>
    </row>
    <row r="293" spans="2:10" ht="15">
      <c r="B293" s="459"/>
      <c r="C293" s="278" t="s">
        <v>1781</v>
      </c>
      <c r="D293" s="172"/>
      <c r="E293" s="278"/>
      <c r="F293" s="476">
        <v>5.52</v>
      </c>
      <c r="G293" s="476"/>
      <c r="H293" s="476">
        <f t="shared" si="4"/>
        <v>1.6300000000000001</v>
      </c>
      <c r="I293" s="479" t="s">
        <v>1910</v>
      </c>
      <c r="J293" s="474">
        <f>ROUND((F293*H293)-(2*0.8*0.9),2)</f>
        <v>7.56</v>
      </c>
    </row>
    <row r="294" spans="2:10" ht="15">
      <c r="B294" s="459"/>
      <c r="C294" s="278"/>
      <c r="D294" s="172"/>
      <c r="E294" s="278"/>
      <c r="F294" s="476">
        <v>3.29</v>
      </c>
      <c r="G294" s="476"/>
      <c r="H294" s="476">
        <f t="shared" si="4"/>
        <v>1.6300000000000001</v>
      </c>
      <c r="I294" s="475"/>
      <c r="J294" s="474">
        <f>ROUND(F294*H294,2)</f>
        <v>5.36</v>
      </c>
    </row>
    <row r="295" spans="2:10" ht="15">
      <c r="B295" s="459"/>
      <c r="C295" s="278"/>
      <c r="D295" s="172"/>
      <c r="E295" s="278"/>
      <c r="F295" s="476">
        <v>10.85</v>
      </c>
      <c r="G295" s="476"/>
      <c r="H295" s="476">
        <f t="shared" si="4"/>
        <v>1.6300000000000001</v>
      </c>
      <c r="I295" s="479" t="s">
        <v>1909</v>
      </c>
      <c r="J295" s="474">
        <f>ROUND((F295*H295)-(2*0.8*0.9)-(1*0.7*0.9),2)</f>
        <v>15.62</v>
      </c>
    </row>
    <row r="296" spans="2:10" ht="15">
      <c r="B296" s="459"/>
      <c r="C296" s="278"/>
      <c r="D296" s="172"/>
      <c r="E296" s="278"/>
      <c r="F296" s="476">
        <v>2.11</v>
      </c>
      <c r="G296" s="476"/>
      <c r="H296" s="476">
        <f t="shared" si="4"/>
        <v>1.6300000000000001</v>
      </c>
      <c r="I296" s="479" t="s">
        <v>1896</v>
      </c>
      <c r="J296" s="474">
        <f>ROUND((F296*H296)-(1*1.745*0.9),2)</f>
        <v>1.87</v>
      </c>
    </row>
    <row r="297" spans="2:10" ht="15">
      <c r="B297" s="459"/>
      <c r="C297" s="278"/>
      <c r="D297" s="172"/>
      <c r="E297" s="278"/>
      <c r="F297" s="476">
        <v>4.55</v>
      </c>
      <c r="G297" s="476"/>
      <c r="H297" s="476">
        <f t="shared" si="4"/>
        <v>1.6300000000000001</v>
      </c>
      <c r="I297" s="475"/>
      <c r="J297" s="474">
        <f>ROUND(F297*H297,2)</f>
        <v>7.42</v>
      </c>
    </row>
    <row r="298" spans="2:10" ht="15">
      <c r="B298" s="459"/>
      <c r="C298" s="278"/>
      <c r="D298" s="172"/>
      <c r="E298" s="278"/>
      <c r="F298" s="476">
        <v>13.53</v>
      </c>
      <c r="G298" s="476"/>
      <c r="H298" s="476">
        <f t="shared" si="4"/>
        <v>1.6300000000000001</v>
      </c>
      <c r="I298" s="479" t="s">
        <v>1908</v>
      </c>
      <c r="J298" s="474">
        <f>ROUND((F298*H298)-(2*0.7*0.9)-(1*1.74*0.9),2)</f>
        <v>19.23</v>
      </c>
    </row>
    <row r="299" spans="2:10" ht="15">
      <c r="B299" s="459"/>
      <c r="C299" s="278"/>
      <c r="D299" s="172"/>
      <c r="E299" s="278"/>
      <c r="F299" s="476">
        <v>8.6</v>
      </c>
      <c r="G299" s="476"/>
      <c r="H299" s="476">
        <f t="shared" si="4"/>
        <v>1.6300000000000001</v>
      </c>
      <c r="I299" s="479"/>
      <c r="J299" s="474">
        <f>ROUND((F299*H299),2)</f>
        <v>14.02</v>
      </c>
    </row>
    <row r="300" spans="2:10" ht="15">
      <c r="B300" s="459"/>
      <c r="C300" s="278"/>
      <c r="D300" s="172"/>
      <c r="E300" s="278"/>
      <c r="F300" s="476">
        <v>7</v>
      </c>
      <c r="G300" s="476"/>
      <c r="H300" s="476">
        <f t="shared" si="4"/>
        <v>1.6300000000000001</v>
      </c>
      <c r="I300" s="479" t="s">
        <v>1907</v>
      </c>
      <c r="J300" s="474">
        <f>ROUND((F300*H300)-(1*0.9*0.9),2)</f>
        <v>10.6</v>
      </c>
    </row>
    <row r="301" spans="2:10" ht="15">
      <c r="B301" s="459"/>
      <c r="C301" s="278"/>
      <c r="D301" s="172"/>
      <c r="E301" s="278"/>
      <c r="F301" s="476">
        <v>2.39</v>
      </c>
      <c r="G301" s="476"/>
      <c r="H301" s="476">
        <f t="shared" si="4"/>
        <v>1.6300000000000001</v>
      </c>
      <c r="I301" s="479"/>
      <c r="J301" s="474">
        <f>ROUND((F301*H301),2)</f>
        <v>3.9</v>
      </c>
    </row>
    <row r="302" spans="2:10" ht="15">
      <c r="B302" s="459"/>
      <c r="C302" s="278" t="s">
        <v>1832</v>
      </c>
      <c r="D302" s="172"/>
      <c r="E302" s="278"/>
      <c r="F302" s="476">
        <f>1.91+0.1+0.13+0.4+0.35+0.46</f>
        <v>3.3499999999999996</v>
      </c>
      <c r="G302" s="476"/>
      <c r="H302" s="476">
        <f t="shared" si="4"/>
        <v>1.6300000000000001</v>
      </c>
      <c r="I302" s="479"/>
      <c r="J302" s="474">
        <f>ROUND((F302*H302),2)</f>
        <v>5.46</v>
      </c>
    </row>
    <row r="303" spans="2:10" ht="15">
      <c r="B303" s="459"/>
      <c r="C303" s="278" t="s">
        <v>1780</v>
      </c>
      <c r="D303" s="172"/>
      <c r="E303" s="278"/>
      <c r="F303" s="476">
        <v>2.92</v>
      </c>
      <c r="G303" s="476">
        <v>2.1</v>
      </c>
      <c r="H303" s="476">
        <f t="shared" si="4"/>
        <v>1.6300000000000001</v>
      </c>
      <c r="I303" s="479" t="s">
        <v>1903</v>
      </c>
      <c r="J303" s="474">
        <f>ROUND((F303+G303)*2*H303-(1*0.8*0.9),2)</f>
        <v>15.65</v>
      </c>
    </row>
    <row r="304" spans="2:10" ht="15">
      <c r="B304" s="459"/>
      <c r="C304" s="278" t="s">
        <v>1779</v>
      </c>
      <c r="D304" s="172"/>
      <c r="E304" s="278"/>
      <c r="F304" s="476">
        <v>2.92</v>
      </c>
      <c r="G304" s="476">
        <v>2.92</v>
      </c>
      <c r="H304" s="476">
        <f t="shared" si="4"/>
        <v>1.6300000000000001</v>
      </c>
      <c r="I304" s="479" t="s">
        <v>1903</v>
      </c>
      <c r="J304" s="474">
        <f>ROUND((F304+G304)*2*H304-(1*0.8*0.9),2)</f>
        <v>18.32</v>
      </c>
    </row>
    <row r="305" spans="2:10" ht="15">
      <c r="B305" s="459"/>
      <c r="C305" s="278" t="s">
        <v>1778</v>
      </c>
      <c r="D305" s="172"/>
      <c r="E305" s="278"/>
      <c r="F305" s="476">
        <v>2.92</v>
      </c>
      <c r="G305" s="476">
        <v>5.38</v>
      </c>
      <c r="H305" s="476">
        <f t="shared" si="4"/>
        <v>1.6300000000000001</v>
      </c>
      <c r="I305" s="479" t="s">
        <v>1903</v>
      </c>
      <c r="J305" s="474">
        <f>ROUND((F305+G305)*2*H305-(1*0.8*0.9),2)</f>
        <v>26.34</v>
      </c>
    </row>
    <row r="306" spans="2:10" ht="15">
      <c r="B306" s="459"/>
      <c r="C306" s="278" t="s">
        <v>1777</v>
      </c>
      <c r="D306" s="172"/>
      <c r="E306" s="278"/>
      <c r="F306" s="476">
        <v>3</v>
      </c>
      <c r="G306" s="476">
        <v>5.15</v>
      </c>
      <c r="H306" s="476">
        <f t="shared" si="4"/>
        <v>1.6300000000000001</v>
      </c>
      <c r="I306" s="479" t="s">
        <v>1903</v>
      </c>
      <c r="J306" s="474">
        <f>ROUND((F306+G306)*2*H306-(1*0.8*0.9),2)</f>
        <v>25.85</v>
      </c>
    </row>
    <row r="307" spans="2:10" ht="15">
      <c r="B307" s="459"/>
      <c r="C307" s="278" t="s">
        <v>1776</v>
      </c>
      <c r="D307" s="172"/>
      <c r="E307" s="278"/>
      <c r="F307" s="476">
        <v>1.1599999999999999</v>
      </c>
      <c r="G307" s="476">
        <v>1.85</v>
      </c>
      <c r="H307" s="476">
        <f t="shared" si="4"/>
        <v>1.6300000000000001</v>
      </c>
      <c r="I307" s="479" t="s">
        <v>1906</v>
      </c>
      <c r="J307" s="474">
        <f>ROUND((F307+G307)*2*H307-(1*0.6*0.9),2)</f>
        <v>9.27</v>
      </c>
    </row>
    <row r="308" spans="2:10" ht="15">
      <c r="B308" s="459"/>
      <c r="C308" s="278" t="s">
        <v>1774</v>
      </c>
      <c r="D308" s="172"/>
      <c r="E308" s="278"/>
      <c r="F308" s="476">
        <v>3</v>
      </c>
      <c r="G308" s="476">
        <v>5.21</v>
      </c>
      <c r="H308" s="476">
        <f t="shared" si="4"/>
        <v>1.6300000000000001</v>
      </c>
      <c r="I308" s="479" t="s">
        <v>1905</v>
      </c>
      <c r="J308" s="474">
        <f>ROUND((F308+G308)*2*H308-(2*1*0.9)-(3*0.8*0.9),2)</f>
        <v>22.8</v>
      </c>
    </row>
    <row r="309" spans="2:10" ht="30">
      <c r="B309" s="459"/>
      <c r="C309" s="278" t="s">
        <v>1829</v>
      </c>
      <c r="D309" s="172"/>
      <c r="E309" s="278"/>
      <c r="F309" s="476">
        <v>3.79</v>
      </c>
      <c r="G309" s="476">
        <v>1</v>
      </c>
      <c r="H309" s="476">
        <f t="shared" si="4"/>
        <v>1.6300000000000001</v>
      </c>
      <c r="I309" s="481" t="s">
        <v>1904</v>
      </c>
      <c r="J309" s="474">
        <f>ROUND((F309+G309)*2*H309-(3*0.6*0.9)-(2*0.8*0.9)-(1*1*0.9),2)</f>
        <v>11.66</v>
      </c>
    </row>
    <row r="310" spans="2:10" ht="15">
      <c r="B310" s="459"/>
      <c r="C310" s="278" t="s">
        <v>1773</v>
      </c>
      <c r="D310" s="172"/>
      <c r="E310" s="278"/>
      <c r="F310" s="476">
        <v>5.15</v>
      </c>
      <c r="G310" s="476">
        <v>5.15</v>
      </c>
      <c r="H310" s="476">
        <f t="shared" si="4"/>
        <v>1.6300000000000001</v>
      </c>
      <c r="I310" s="479" t="s">
        <v>1903</v>
      </c>
      <c r="J310" s="474">
        <f>ROUND((F310+G310)*2*H310-(1*0.8*0.9),2)</f>
        <v>32.86</v>
      </c>
    </row>
    <row r="311" spans="2:10" ht="15">
      <c r="B311" s="459"/>
      <c r="C311" s="278" t="s">
        <v>1772</v>
      </c>
      <c r="D311" s="172"/>
      <c r="E311" s="278"/>
      <c r="F311" s="476">
        <v>2.25</v>
      </c>
      <c r="G311" s="476">
        <v>5.15</v>
      </c>
      <c r="H311" s="476">
        <f t="shared" ref="H311:H321" si="5">2.83-1.2</f>
        <v>1.6300000000000001</v>
      </c>
      <c r="I311" s="479" t="s">
        <v>1903</v>
      </c>
      <c r="J311" s="474">
        <f>ROUND((F311+G311)*2*H311-(1*0.8*0.9),2)</f>
        <v>23.4</v>
      </c>
    </row>
    <row r="312" spans="2:10" ht="15">
      <c r="B312" s="459"/>
      <c r="C312" s="278" t="s">
        <v>1771</v>
      </c>
      <c r="D312" s="172"/>
      <c r="E312" s="278"/>
      <c r="F312" s="476">
        <v>3.07</v>
      </c>
      <c r="G312" s="476">
        <v>5.15</v>
      </c>
      <c r="H312" s="476">
        <f t="shared" si="5"/>
        <v>1.6300000000000001</v>
      </c>
      <c r="I312" s="479" t="s">
        <v>1902</v>
      </c>
      <c r="J312" s="474">
        <f>ROUND((F312+G312)*2*H312-(1*0.8*0.9)-(1*0.6*0.9),2)</f>
        <v>25.54</v>
      </c>
    </row>
    <row r="313" spans="2:10" ht="15">
      <c r="B313" s="459"/>
      <c r="C313" s="278" t="s">
        <v>1825</v>
      </c>
      <c r="D313" s="172"/>
      <c r="E313" s="278"/>
      <c r="F313" s="476">
        <v>5.15</v>
      </c>
      <c r="G313" s="476"/>
      <c r="H313" s="476">
        <f t="shared" si="5"/>
        <v>1.6300000000000001</v>
      </c>
      <c r="I313" s="479"/>
      <c r="J313" s="474">
        <f>ROUND((F313*H313),2)</f>
        <v>8.39</v>
      </c>
    </row>
    <row r="314" spans="2:10" ht="15">
      <c r="B314" s="459"/>
      <c r="C314" s="278" t="s">
        <v>1743</v>
      </c>
      <c r="D314" s="172"/>
      <c r="E314" s="278"/>
      <c r="F314" s="476">
        <v>12.65</v>
      </c>
      <c r="G314" s="476"/>
      <c r="H314" s="476">
        <f t="shared" si="5"/>
        <v>1.6300000000000001</v>
      </c>
      <c r="I314" s="479" t="s">
        <v>1901</v>
      </c>
      <c r="J314" s="474">
        <f>ROUND((F314*H314)-(1*0.8*0.9)-(1*0.9*0.9),2)</f>
        <v>19.09</v>
      </c>
    </row>
    <row r="315" spans="2:10" ht="15">
      <c r="B315" s="459"/>
      <c r="C315" s="278"/>
      <c r="D315" s="172"/>
      <c r="E315" s="278"/>
      <c r="F315" s="476">
        <v>5.15</v>
      </c>
      <c r="G315" s="476"/>
      <c r="H315" s="476">
        <f t="shared" si="5"/>
        <v>1.6300000000000001</v>
      </c>
      <c r="I315" s="479" t="s">
        <v>1900</v>
      </c>
      <c r="J315" s="474">
        <f>ROUND((F315*H315)-(2*0.8*0.9),2)</f>
        <v>6.95</v>
      </c>
    </row>
    <row r="316" spans="2:10" ht="15">
      <c r="B316" s="459"/>
      <c r="C316" s="278"/>
      <c r="D316" s="172"/>
      <c r="E316" s="278"/>
      <c r="F316" s="476">
        <v>17.55</v>
      </c>
      <c r="G316" s="476"/>
      <c r="H316" s="476">
        <f t="shared" si="5"/>
        <v>1.6300000000000001</v>
      </c>
      <c r="I316" s="479"/>
      <c r="J316" s="474">
        <f>ROUND((F316*H316),2)</f>
        <v>28.61</v>
      </c>
    </row>
    <row r="317" spans="2:10" ht="30">
      <c r="B317" s="459"/>
      <c r="C317" s="278" t="s">
        <v>1762</v>
      </c>
      <c r="D317" s="172"/>
      <c r="E317" s="278"/>
      <c r="F317" s="476">
        <v>21.44</v>
      </c>
      <c r="G317" s="476">
        <v>2.54</v>
      </c>
      <c r="H317" s="476">
        <f t="shared" si="5"/>
        <v>1.6300000000000001</v>
      </c>
      <c r="I317" s="481" t="s">
        <v>1899</v>
      </c>
      <c r="J317" s="474">
        <f>ROUND((F317+G317)*2*H317-(7*0.8*0.9)-(2*0.9*0.9)-(1*2.54*H317),2)</f>
        <v>67.37</v>
      </c>
    </row>
    <row r="318" spans="2:10" ht="15">
      <c r="B318" s="459"/>
      <c r="C318" s="278" t="s">
        <v>1821</v>
      </c>
      <c r="D318" s="172"/>
      <c r="E318" s="278"/>
      <c r="F318" s="476">
        <v>46.25</v>
      </c>
      <c r="G318" s="476"/>
      <c r="H318" s="476">
        <f t="shared" si="5"/>
        <v>1.6300000000000001</v>
      </c>
      <c r="I318" s="479" t="s">
        <v>1898</v>
      </c>
      <c r="J318" s="474">
        <f>ROUND((F318*H318)-(2*0.9*0.9)-(1*0.8*0.9),2)</f>
        <v>73.05</v>
      </c>
    </row>
    <row r="319" spans="2:10" ht="15">
      <c r="B319" s="459"/>
      <c r="C319" s="278" t="s">
        <v>1819</v>
      </c>
      <c r="D319" s="172"/>
      <c r="E319" s="278"/>
      <c r="F319" s="476">
        <v>46.25</v>
      </c>
      <c r="G319" s="476"/>
      <c r="H319" s="476">
        <f t="shared" si="5"/>
        <v>1.6300000000000001</v>
      </c>
      <c r="I319" s="479" t="s">
        <v>1897</v>
      </c>
      <c r="J319" s="474">
        <f>ROUND((F319*H319)-(1*2.95*0.9),2)</f>
        <v>72.73</v>
      </c>
    </row>
    <row r="320" spans="2:10" ht="15">
      <c r="B320" s="459"/>
      <c r="C320" s="278" t="s">
        <v>1817</v>
      </c>
      <c r="D320" s="172"/>
      <c r="E320" s="278"/>
      <c r="F320" s="476">
        <v>19.25</v>
      </c>
      <c r="G320" s="476"/>
      <c r="H320" s="476">
        <f t="shared" si="5"/>
        <v>1.6300000000000001</v>
      </c>
      <c r="I320" s="479" t="s">
        <v>1896</v>
      </c>
      <c r="J320" s="474">
        <f>ROUND((F320*H320)-(1*1.745*0.9),2)</f>
        <v>29.81</v>
      </c>
    </row>
    <row r="321" spans="2:10" ht="15">
      <c r="B321" s="459"/>
      <c r="C321" s="278" t="s">
        <v>1815</v>
      </c>
      <c r="D321" s="172"/>
      <c r="E321" s="278"/>
      <c r="F321" s="476">
        <v>19.25</v>
      </c>
      <c r="G321" s="476"/>
      <c r="H321" s="476">
        <f t="shared" si="5"/>
        <v>1.6300000000000001</v>
      </c>
      <c r="I321" s="479" t="s">
        <v>1895</v>
      </c>
      <c r="J321" s="474">
        <f>ROUND((F321*H321)-(1*1*0.9),2)</f>
        <v>30.48</v>
      </c>
    </row>
    <row r="322" spans="2:10" ht="15">
      <c r="B322" s="459"/>
      <c r="C322" s="278" t="s">
        <v>1812</v>
      </c>
      <c r="D322" s="172"/>
      <c r="E322" s="278"/>
      <c r="F322" s="476">
        <f>0.45+0.45+0.5+0.1+0.5+0.45+0.45</f>
        <v>2.9000000000000004</v>
      </c>
      <c r="G322" s="476">
        <v>10.6</v>
      </c>
      <c r="H322" s="476"/>
      <c r="I322" s="479"/>
      <c r="J322" s="474">
        <f>F322*G322</f>
        <v>30.740000000000002</v>
      </c>
    </row>
    <row r="323" spans="2:10" ht="15">
      <c r="B323" s="459"/>
      <c r="C323" s="278" t="s">
        <v>1811</v>
      </c>
      <c r="D323" s="172"/>
      <c r="E323" s="278"/>
      <c r="F323" s="476">
        <f>0.45+0.5</f>
        <v>0.95</v>
      </c>
      <c r="G323" s="476">
        <v>26.8</v>
      </c>
      <c r="H323" s="476"/>
      <c r="I323" s="479"/>
      <c r="J323" s="474">
        <f>F323*G323</f>
        <v>25.46</v>
      </c>
    </row>
    <row r="324" spans="2:10" ht="15">
      <c r="B324" s="459"/>
      <c r="C324" s="278"/>
      <c r="D324" s="172"/>
      <c r="E324" s="278"/>
      <c r="F324" s="476"/>
      <c r="G324" s="476"/>
      <c r="H324" s="476"/>
      <c r="I324" s="479"/>
      <c r="J324" s="474"/>
    </row>
    <row r="325" spans="2:10" ht="15">
      <c r="B325" s="459"/>
      <c r="C325" s="278" t="s">
        <v>1810</v>
      </c>
      <c r="D325" s="172" t="s">
        <v>1805</v>
      </c>
      <c r="E325" s="278">
        <v>-40</v>
      </c>
      <c r="F325" s="480">
        <v>2</v>
      </c>
      <c r="G325" s="476">
        <v>0.6</v>
      </c>
      <c r="H325" s="476">
        <v>0.65</v>
      </c>
      <c r="I325" s="479"/>
      <c r="J325" s="474">
        <f t="shared" ref="J325:J332" si="6">E325*F325*G325*H325</f>
        <v>-31.200000000000003</v>
      </c>
    </row>
    <row r="326" spans="2:10" ht="15">
      <c r="B326" s="459"/>
      <c r="C326" s="278"/>
      <c r="D326" s="172" t="s">
        <v>1804</v>
      </c>
      <c r="E326" s="278">
        <v>-6</v>
      </c>
      <c r="F326" s="480">
        <v>2</v>
      </c>
      <c r="G326" s="476">
        <v>0.9</v>
      </c>
      <c r="H326" s="476">
        <v>0.6</v>
      </c>
      <c r="I326" s="479"/>
      <c r="J326" s="474">
        <f t="shared" si="6"/>
        <v>-6.48</v>
      </c>
    </row>
    <row r="327" spans="2:10" ht="15">
      <c r="B327" s="459"/>
      <c r="C327" s="278"/>
      <c r="D327" s="172" t="s">
        <v>1809</v>
      </c>
      <c r="E327" s="278">
        <v>-8</v>
      </c>
      <c r="F327" s="480">
        <v>2</v>
      </c>
      <c r="G327" s="476">
        <v>1.75</v>
      </c>
      <c r="H327" s="476">
        <v>1</v>
      </c>
      <c r="I327" s="479"/>
      <c r="J327" s="474">
        <f t="shared" si="6"/>
        <v>-28</v>
      </c>
    </row>
    <row r="328" spans="2:10" ht="15">
      <c r="B328" s="459"/>
      <c r="C328" s="278"/>
      <c r="D328" s="172" t="s">
        <v>1808</v>
      </c>
      <c r="E328" s="278">
        <v>-6</v>
      </c>
      <c r="F328" s="480">
        <v>2</v>
      </c>
      <c r="G328" s="476">
        <v>1.8</v>
      </c>
      <c r="H328" s="476">
        <v>1</v>
      </c>
      <c r="I328" s="479"/>
      <c r="J328" s="474">
        <f t="shared" si="6"/>
        <v>-21.6</v>
      </c>
    </row>
    <row r="329" spans="2:10" ht="15">
      <c r="B329" s="459"/>
      <c r="C329" s="278"/>
      <c r="D329" s="172" t="s">
        <v>1807</v>
      </c>
      <c r="E329" s="278">
        <v>-4</v>
      </c>
      <c r="F329" s="480">
        <v>2</v>
      </c>
      <c r="G329" s="476">
        <v>1.2</v>
      </c>
      <c r="H329" s="476">
        <v>1.1000000000000001</v>
      </c>
      <c r="I329" s="479"/>
      <c r="J329" s="474">
        <f t="shared" si="6"/>
        <v>-10.56</v>
      </c>
    </row>
    <row r="330" spans="2:10" ht="15">
      <c r="B330" s="459"/>
      <c r="C330" s="278"/>
      <c r="D330" s="172" t="s">
        <v>1806</v>
      </c>
      <c r="E330" s="278">
        <v>-8</v>
      </c>
      <c r="F330" s="480">
        <v>2</v>
      </c>
      <c r="G330" s="476">
        <v>2.8</v>
      </c>
      <c r="H330" s="476">
        <v>1.1000000000000001</v>
      </c>
      <c r="I330" s="479"/>
      <c r="J330" s="474">
        <f t="shared" si="6"/>
        <v>-49.28</v>
      </c>
    </row>
    <row r="331" spans="2:10" ht="15">
      <c r="B331" s="459"/>
      <c r="C331" s="278"/>
      <c r="D331" s="172" t="s">
        <v>1805</v>
      </c>
      <c r="E331" s="278">
        <v>-12</v>
      </c>
      <c r="F331" s="480">
        <v>1</v>
      </c>
      <c r="G331" s="476">
        <v>0.6</v>
      </c>
      <c r="H331" s="476">
        <v>0.65</v>
      </c>
      <c r="I331" s="479" t="s">
        <v>1803</v>
      </c>
      <c r="J331" s="474">
        <f t="shared" si="6"/>
        <v>-4.68</v>
      </c>
    </row>
    <row r="332" spans="2:10" ht="15">
      <c r="B332" s="459"/>
      <c r="C332" s="278"/>
      <c r="D332" s="172" t="s">
        <v>1804</v>
      </c>
      <c r="E332" s="278">
        <v>-2</v>
      </c>
      <c r="F332" s="480">
        <v>1</v>
      </c>
      <c r="G332" s="476">
        <v>0.9</v>
      </c>
      <c r="H332" s="476">
        <v>0.6</v>
      </c>
      <c r="I332" s="479" t="s">
        <v>1803</v>
      </c>
      <c r="J332" s="474">
        <f t="shared" si="6"/>
        <v>-1.08</v>
      </c>
    </row>
    <row r="333" spans="2:10" ht="15">
      <c r="B333" s="459"/>
      <c r="C333" s="278"/>
      <c r="D333" s="172"/>
      <c r="E333" s="278"/>
      <c r="F333" s="476"/>
      <c r="G333" s="476"/>
      <c r="H333" s="476"/>
      <c r="I333" s="475"/>
      <c r="J333" s="474"/>
    </row>
    <row r="334" spans="2:10" s="460" customFormat="1" ht="15">
      <c r="B334" s="464"/>
      <c r="C334" s="368" t="s">
        <v>1802</v>
      </c>
      <c r="D334" s="289"/>
      <c r="E334" s="368"/>
      <c r="F334" s="478"/>
      <c r="G334" s="478"/>
      <c r="H334" s="478"/>
      <c r="I334" s="477"/>
      <c r="J334" s="469">
        <f>SUM(J335:J394)</f>
        <v>597.17180000000008</v>
      </c>
    </row>
    <row r="335" spans="2:10" ht="15">
      <c r="B335" s="459"/>
      <c r="C335" s="278" t="s">
        <v>1801</v>
      </c>
      <c r="D335" s="172"/>
      <c r="E335" s="278"/>
      <c r="F335" s="476">
        <v>3</v>
      </c>
      <c r="G335" s="476">
        <f>2.5+0.15+1.61</f>
        <v>4.26</v>
      </c>
      <c r="H335" s="476"/>
      <c r="I335" s="475"/>
      <c r="J335" s="474">
        <f t="shared" ref="J335:J366" si="7">F335*G335</f>
        <v>12.78</v>
      </c>
    </row>
    <row r="336" spans="2:10" ht="15">
      <c r="B336" s="459"/>
      <c r="C336" s="278" t="s">
        <v>1750</v>
      </c>
      <c r="D336" s="172"/>
      <c r="E336" s="278"/>
      <c r="F336" s="476">
        <v>1.93</v>
      </c>
      <c r="G336" s="476">
        <v>6.23</v>
      </c>
      <c r="H336" s="476"/>
      <c r="I336" s="475"/>
      <c r="J336" s="474">
        <f t="shared" si="7"/>
        <v>12.023900000000001</v>
      </c>
    </row>
    <row r="337" spans="2:10" ht="15">
      <c r="B337" s="459"/>
      <c r="C337" s="278" t="s">
        <v>1749</v>
      </c>
      <c r="D337" s="172"/>
      <c r="E337" s="278"/>
      <c r="F337" s="476">
        <v>2.3199999999999998</v>
      </c>
      <c r="G337" s="476">
        <v>4.49</v>
      </c>
      <c r="H337" s="476"/>
      <c r="I337" s="475"/>
      <c r="J337" s="474">
        <f t="shared" si="7"/>
        <v>10.4168</v>
      </c>
    </row>
    <row r="338" spans="2:10" ht="15">
      <c r="B338" s="459"/>
      <c r="C338" s="278" t="s">
        <v>1800</v>
      </c>
      <c r="D338" s="172"/>
      <c r="E338" s="278"/>
      <c r="F338" s="476">
        <v>1.59</v>
      </c>
      <c r="G338" s="476">
        <v>1.0900000000000001</v>
      </c>
      <c r="H338" s="476"/>
      <c r="I338" s="475"/>
      <c r="J338" s="474">
        <f t="shared" si="7"/>
        <v>1.7331000000000003</v>
      </c>
    </row>
    <row r="339" spans="2:10" ht="15">
      <c r="B339" s="459"/>
      <c r="C339" s="278" t="s">
        <v>1799</v>
      </c>
      <c r="D339" s="172"/>
      <c r="E339" s="278"/>
      <c r="F339" s="476">
        <v>3</v>
      </c>
      <c r="G339" s="476">
        <v>1.59</v>
      </c>
      <c r="H339" s="476"/>
      <c r="I339" s="475"/>
      <c r="J339" s="474">
        <f t="shared" si="7"/>
        <v>4.7700000000000005</v>
      </c>
    </row>
    <row r="340" spans="2:10" ht="15">
      <c r="B340" s="459"/>
      <c r="C340" s="278" t="s">
        <v>1798</v>
      </c>
      <c r="D340" s="172"/>
      <c r="E340" s="278"/>
      <c r="F340" s="476">
        <v>3</v>
      </c>
      <c r="G340" s="476">
        <v>2.54</v>
      </c>
      <c r="H340" s="476"/>
      <c r="I340" s="475"/>
      <c r="J340" s="474">
        <f t="shared" si="7"/>
        <v>7.62</v>
      </c>
    </row>
    <row r="341" spans="2:10" ht="15">
      <c r="B341" s="459"/>
      <c r="C341" s="278"/>
      <c r="D341" s="172"/>
      <c r="E341" s="278"/>
      <c r="F341" s="476">
        <v>1.72</v>
      </c>
      <c r="G341" s="476">
        <v>1</v>
      </c>
      <c r="H341" s="476"/>
      <c r="I341" s="475"/>
      <c r="J341" s="474">
        <f t="shared" si="7"/>
        <v>1.72</v>
      </c>
    </row>
    <row r="342" spans="2:10" ht="15">
      <c r="B342" s="459"/>
      <c r="C342" s="278"/>
      <c r="D342" s="172"/>
      <c r="E342" s="278"/>
      <c r="F342" s="476">
        <v>1.72</v>
      </c>
      <c r="G342" s="476">
        <v>1.39</v>
      </c>
      <c r="H342" s="476"/>
      <c r="I342" s="475"/>
      <c r="J342" s="474">
        <f t="shared" si="7"/>
        <v>2.3907999999999996</v>
      </c>
    </row>
    <row r="343" spans="2:10" ht="15">
      <c r="B343" s="459"/>
      <c r="C343" s="278" t="s">
        <v>1797</v>
      </c>
      <c r="D343" s="172"/>
      <c r="E343" s="278"/>
      <c r="F343" s="476">
        <v>1.8</v>
      </c>
      <c r="G343" s="476">
        <v>3.07</v>
      </c>
      <c r="H343" s="476"/>
      <c r="I343" s="475"/>
      <c r="J343" s="474">
        <f t="shared" si="7"/>
        <v>5.5259999999999998</v>
      </c>
    </row>
    <row r="344" spans="2:10" ht="15">
      <c r="B344" s="459"/>
      <c r="C344" s="278" t="s">
        <v>1796</v>
      </c>
      <c r="D344" s="172"/>
      <c r="E344" s="278"/>
      <c r="F344" s="476">
        <v>1.8</v>
      </c>
      <c r="G344" s="476">
        <v>3.23</v>
      </c>
      <c r="H344" s="476"/>
      <c r="I344" s="475"/>
      <c r="J344" s="474">
        <f t="shared" si="7"/>
        <v>5.8140000000000001</v>
      </c>
    </row>
    <row r="345" spans="2:10" ht="15">
      <c r="B345" s="459"/>
      <c r="C345" s="278" t="s">
        <v>1795</v>
      </c>
      <c r="D345" s="172"/>
      <c r="E345" s="278"/>
      <c r="F345" s="476">
        <v>1.59</v>
      </c>
      <c r="G345" s="476">
        <v>3.23</v>
      </c>
      <c r="H345" s="476"/>
      <c r="I345" s="475"/>
      <c r="J345" s="474">
        <f t="shared" si="7"/>
        <v>5.1356999999999999</v>
      </c>
    </row>
    <row r="346" spans="2:10" ht="15">
      <c r="B346" s="459"/>
      <c r="C346" s="278"/>
      <c r="D346" s="172"/>
      <c r="E346" s="278"/>
      <c r="F346" s="476">
        <v>0.7</v>
      </c>
      <c r="G346" s="476">
        <v>0.74</v>
      </c>
      <c r="H346" s="476"/>
      <c r="I346" s="475"/>
      <c r="J346" s="474">
        <f t="shared" si="7"/>
        <v>0.51800000000000002</v>
      </c>
    </row>
    <row r="347" spans="2:10" ht="15">
      <c r="B347" s="459"/>
      <c r="C347" s="278"/>
      <c r="D347" s="172"/>
      <c r="E347" s="278"/>
      <c r="F347" s="476">
        <v>0.7</v>
      </c>
      <c r="G347" s="476">
        <v>0.7</v>
      </c>
      <c r="H347" s="476"/>
      <c r="I347" s="475"/>
      <c r="J347" s="474">
        <f t="shared" si="7"/>
        <v>0.48999999999999994</v>
      </c>
    </row>
    <row r="348" spans="2:10" ht="15">
      <c r="B348" s="459"/>
      <c r="C348" s="278" t="s">
        <v>1741</v>
      </c>
      <c r="D348" s="172"/>
      <c r="E348" s="278"/>
      <c r="F348" s="476">
        <v>2.94</v>
      </c>
      <c r="G348" s="476">
        <v>3.54</v>
      </c>
      <c r="H348" s="476"/>
      <c r="I348" s="475"/>
      <c r="J348" s="474">
        <f t="shared" si="7"/>
        <v>10.4076</v>
      </c>
    </row>
    <row r="349" spans="2:10" ht="15">
      <c r="B349" s="459"/>
      <c r="C349" s="278" t="s">
        <v>1740</v>
      </c>
      <c r="D349" s="172"/>
      <c r="E349" s="278"/>
      <c r="F349" s="476">
        <v>3</v>
      </c>
      <c r="G349" s="476">
        <v>3.54</v>
      </c>
      <c r="H349" s="476"/>
      <c r="I349" s="475"/>
      <c r="J349" s="474">
        <f t="shared" si="7"/>
        <v>10.620000000000001</v>
      </c>
    </row>
    <row r="350" spans="2:10" ht="15">
      <c r="B350" s="459"/>
      <c r="C350" s="278" t="s">
        <v>1794</v>
      </c>
      <c r="D350" s="172"/>
      <c r="E350" s="278"/>
      <c r="F350" s="476">
        <v>2.94</v>
      </c>
      <c r="G350" s="476">
        <v>3.54</v>
      </c>
      <c r="H350" s="476"/>
      <c r="I350" s="475"/>
      <c r="J350" s="474">
        <f t="shared" si="7"/>
        <v>10.4076</v>
      </c>
    </row>
    <row r="351" spans="2:10" ht="15">
      <c r="B351" s="459"/>
      <c r="C351" s="278"/>
      <c r="D351" s="172"/>
      <c r="E351" s="278"/>
      <c r="F351" s="476">
        <v>0.73</v>
      </c>
      <c r="G351" s="476">
        <v>0.74</v>
      </c>
      <c r="H351" s="476"/>
      <c r="I351" s="475"/>
      <c r="J351" s="474">
        <f t="shared" si="7"/>
        <v>0.54020000000000001</v>
      </c>
    </row>
    <row r="352" spans="2:10" ht="15">
      <c r="B352" s="459"/>
      <c r="C352" s="278"/>
      <c r="D352" s="172"/>
      <c r="E352" s="278"/>
      <c r="F352" s="476">
        <v>0.73</v>
      </c>
      <c r="G352" s="476">
        <v>0.7</v>
      </c>
      <c r="H352" s="476"/>
      <c r="I352" s="475"/>
      <c r="J352" s="474">
        <f t="shared" si="7"/>
        <v>0.51100000000000001</v>
      </c>
    </row>
    <row r="353" spans="2:10" ht="15">
      <c r="B353" s="459"/>
      <c r="C353" s="278" t="s">
        <v>1793</v>
      </c>
      <c r="D353" s="172"/>
      <c r="E353" s="278"/>
      <c r="F353" s="476">
        <v>3</v>
      </c>
      <c r="G353" s="476">
        <v>3.54</v>
      </c>
      <c r="H353" s="476"/>
      <c r="I353" s="475"/>
      <c r="J353" s="474">
        <f t="shared" si="7"/>
        <v>10.620000000000001</v>
      </c>
    </row>
    <row r="354" spans="2:10" ht="15">
      <c r="B354" s="459"/>
      <c r="C354" s="278"/>
      <c r="D354" s="172"/>
      <c r="E354" s="278"/>
      <c r="F354" s="476">
        <v>0.7</v>
      </c>
      <c r="G354" s="476">
        <v>0.74</v>
      </c>
      <c r="H354" s="476"/>
      <c r="I354" s="475"/>
      <c r="J354" s="474">
        <f t="shared" si="7"/>
        <v>0.51800000000000002</v>
      </c>
    </row>
    <row r="355" spans="2:10" ht="15">
      <c r="B355" s="459"/>
      <c r="C355" s="278"/>
      <c r="D355" s="172"/>
      <c r="E355" s="278"/>
      <c r="F355" s="476">
        <v>0.7</v>
      </c>
      <c r="G355" s="476">
        <v>0.7</v>
      </c>
      <c r="H355" s="476"/>
      <c r="I355" s="475"/>
      <c r="J355" s="474">
        <f t="shared" si="7"/>
        <v>0.48999999999999994</v>
      </c>
    </row>
    <row r="356" spans="2:10" ht="15">
      <c r="B356" s="459"/>
      <c r="C356" s="278" t="s">
        <v>1792</v>
      </c>
      <c r="D356" s="172"/>
      <c r="E356" s="278"/>
      <c r="F356" s="476">
        <v>3</v>
      </c>
      <c r="G356" s="476">
        <v>3.54</v>
      </c>
      <c r="H356" s="476"/>
      <c r="I356" s="475"/>
      <c r="J356" s="474">
        <f t="shared" si="7"/>
        <v>10.620000000000001</v>
      </c>
    </row>
    <row r="357" spans="2:10" ht="15">
      <c r="B357" s="459"/>
      <c r="C357" s="278"/>
      <c r="D357" s="172"/>
      <c r="E357" s="278"/>
      <c r="F357" s="476">
        <v>0.7</v>
      </c>
      <c r="G357" s="476">
        <v>0.74</v>
      </c>
      <c r="H357" s="476"/>
      <c r="I357" s="475"/>
      <c r="J357" s="474">
        <f t="shared" si="7"/>
        <v>0.51800000000000002</v>
      </c>
    </row>
    <row r="358" spans="2:10" ht="15">
      <c r="B358" s="459"/>
      <c r="C358" s="278"/>
      <c r="D358" s="172"/>
      <c r="E358" s="278"/>
      <c r="F358" s="476">
        <v>0.7</v>
      </c>
      <c r="G358" s="476">
        <v>0.7</v>
      </c>
      <c r="H358" s="476"/>
      <c r="I358" s="475"/>
      <c r="J358" s="474">
        <f t="shared" si="7"/>
        <v>0.48999999999999994</v>
      </c>
    </row>
    <row r="359" spans="2:10" ht="15">
      <c r="B359" s="459"/>
      <c r="C359" s="278" t="s">
        <v>1791</v>
      </c>
      <c r="D359" s="172"/>
      <c r="E359" s="278"/>
      <c r="F359" s="476">
        <v>30.86</v>
      </c>
      <c r="G359" s="476">
        <v>1</v>
      </c>
      <c r="H359" s="476"/>
      <c r="I359" s="475"/>
      <c r="J359" s="474">
        <f t="shared" si="7"/>
        <v>30.86</v>
      </c>
    </row>
    <row r="360" spans="2:10" ht="15">
      <c r="B360" s="459"/>
      <c r="C360" s="278" t="s">
        <v>1790</v>
      </c>
      <c r="D360" s="172"/>
      <c r="E360" s="278"/>
      <c r="F360" s="476">
        <v>3</v>
      </c>
      <c r="G360" s="476">
        <v>3.46</v>
      </c>
      <c r="H360" s="476"/>
      <c r="I360" s="475"/>
      <c r="J360" s="474">
        <f t="shared" si="7"/>
        <v>10.379999999999999</v>
      </c>
    </row>
    <row r="361" spans="2:10" ht="15">
      <c r="B361" s="459"/>
      <c r="C361" s="278"/>
      <c r="D361" s="172"/>
      <c r="E361" s="278"/>
      <c r="F361" s="476">
        <v>1.54</v>
      </c>
      <c r="G361" s="476">
        <v>0.89</v>
      </c>
      <c r="H361" s="476"/>
      <c r="I361" s="475"/>
      <c r="J361" s="474">
        <f t="shared" si="7"/>
        <v>1.3706</v>
      </c>
    </row>
    <row r="362" spans="2:10" ht="15">
      <c r="B362" s="459"/>
      <c r="C362" s="278" t="s">
        <v>1789</v>
      </c>
      <c r="D362" s="172"/>
      <c r="E362" s="278"/>
      <c r="F362" s="476">
        <v>3</v>
      </c>
      <c r="G362" s="476">
        <v>3.46</v>
      </c>
      <c r="H362" s="476"/>
      <c r="I362" s="475"/>
      <c r="J362" s="474">
        <f t="shared" si="7"/>
        <v>10.379999999999999</v>
      </c>
    </row>
    <row r="363" spans="2:10" ht="15">
      <c r="B363" s="459"/>
      <c r="C363" s="278"/>
      <c r="D363" s="172"/>
      <c r="E363" s="278"/>
      <c r="F363" s="476">
        <v>1.54</v>
      </c>
      <c r="G363" s="476">
        <v>0.59</v>
      </c>
      <c r="H363" s="476"/>
      <c r="I363" s="475"/>
      <c r="J363" s="474">
        <f t="shared" si="7"/>
        <v>0.90859999999999996</v>
      </c>
    </row>
    <row r="364" spans="2:10" ht="15">
      <c r="B364" s="459"/>
      <c r="C364" s="278" t="s">
        <v>1788</v>
      </c>
      <c r="D364" s="172"/>
      <c r="E364" s="278"/>
      <c r="F364" s="476">
        <v>3</v>
      </c>
      <c r="G364" s="476">
        <v>3.46</v>
      </c>
      <c r="H364" s="476"/>
      <c r="I364" s="475"/>
      <c r="J364" s="474">
        <f t="shared" si="7"/>
        <v>10.379999999999999</v>
      </c>
    </row>
    <row r="365" spans="2:10" ht="15">
      <c r="B365" s="459"/>
      <c r="C365" s="278"/>
      <c r="D365" s="172"/>
      <c r="E365" s="278"/>
      <c r="F365" s="476">
        <v>1.54</v>
      </c>
      <c r="G365" s="476">
        <v>0.89</v>
      </c>
      <c r="H365" s="476"/>
      <c r="I365" s="475"/>
      <c r="J365" s="474">
        <f t="shared" si="7"/>
        <v>1.3706</v>
      </c>
    </row>
    <row r="366" spans="2:10" ht="15">
      <c r="B366" s="459"/>
      <c r="C366" s="278" t="s">
        <v>1787</v>
      </c>
      <c r="D366" s="172"/>
      <c r="E366" s="278"/>
      <c r="F366" s="476">
        <v>3</v>
      </c>
      <c r="G366" s="476">
        <v>3.46</v>
      </c>
      <c r="H366" s="476"/>
      <c r="I366" s="475"/>
      <c r="J366" s="474">
        <f t="shared" si="7"/>
        <v>10.379999999999999</v>
      </c>
    </row>
    <row r="367" spans="2:10" ht="15">
      <c r="B367" s="459"/>
      <c r="C367" s="278"/>
      <c r="D367" s="172"/>
      <c r="E367" s="278"/>
      <c r="F367" s="476">
        <v>1.54</v>
      </c>
      <c r="G367" s="476">
        <v>0.59</v>
      </c>
      <c r="H367" s="476"/>
      <c r="I367" s="475"/>
      <c r="J367" s="474">
        <f t="shared" ref="J367:J398" si="8">F367*G367</f>
        <v>0.90859999999999996</v>
      </c>
    </row>
    <row r="368" spans="2:10" ht="15">
      <c r="B368" s="459"/>
      <c r="C368" s="278" t="s">
        <v>1786</v>
      </c>
      <c r="D368" s="172"/>
      <c r="E368" s="278"/>
      <c r="F368" s="476">
        <v>3</v>
      </c>
      <c r="G368" s="476">
        <v>3.46</v>
      </c>
      <c r="H368" s="476"/>
      <c r="I368" s="475"/>
      <c r="J368" s="474">
        <f t="shared" si="8"/>
        <v>10.379999999999999</v>
      </c>
    </row>
    <row r="369" spans="2:10" ht="15">
      <c r="B369" s="459"/>
      <c r="C369" s="278"/>
      <c r="D369" s="172"/>
      <c r="E369" s="278"/>
      <c r="F369" s="476">
        <v>1.54</v>
      </c>
      <c r="G369" s="476">
        <v>0.89</v>
      </c>
      <c r="H369" s="476"/>
      <c r="I369" s="475"/>
      <c r="J369" s="474">
        <f t="shared" si="8"/>
        <v>1.3706</v>
      </c>
    </row>
    <row r="370" spans="2:10" ht="15">
      <c r="B370" s="459"/>
      <c r="C370" s="278" t="s">
        <v>1785</v>
      </c>
      <c r="D370" s="172"/>
      <c r="E370" s="278"/>
      <c r="F370" s="476">
        <v>3</v>
      </c>
      <c r="G370" s="476">
        <v>3.46</v>
      </c>
      <c r="H370" s="476"/>
      <c r="I370" s="475"/>
      <c r="J370" s="474">
        <f t="shared" si="8"/>
        <v>10.379999999999999</v>
      </c>
    </row>
    <row r="371" spans="2:10" ht="15">
      <c r="B371" s="459"/>
      <c r="C371" s="278"/>
      <c r="D371" s="172"/>
      <c r="E371" s="278"/>
      <c r="F371" s="476">
        <v>1.54</v>
      </c>
      <c r="G371" s="476">
        <v>0.59</v>
      </c>
      <c r="H371" s="476"/>
      <c r="I371" s="475"/>
      <c r="J371" s="474">
        <f t="shared" si="8"/>
        <v>0.90859999999999996</v>
      </c>
    </row>
    <row r="372" spans="2:10" ht="15">
      <c r="B372" s="459"/>
      <c r="C372" s="278" t="s">
        <v>1784</v>
      </c>
      <c r="D372" s="172"/>
      <c r="E372" s="278"/>
      <c r="F372" s="476">
        <v>3</v>
      </c>
      <c r="G372" s="476">
        <v>3.46</v>
      </c>
      <c r="H372" s="476"/>
      <c r="I372" s="475"/>
      <c r="J372" s="474">
        <f t="shared" si="8"/>
        <v>10.379999999999999</v>
      </c>
    </row>
    <row r="373" spans="2:10" ht="15">
      <c r="B373" s="459"/>
      <c r="C373" s="278"/>
      <c r="D373" s="172"/>
      <c r="E373" s="278"/>
      <c r="F373" s="476">
        <v>1.54</v>
      </c>
      <c r="G373" s="476">
        <v>0.89</v>
      </c>
      <c r="H373" s="476"/>
      <c r="I373" s="475"/>
      <c r="J373" s="474">
        <f t="shared" si="8"/>
        <v>1.3706</v>
      </c>
    </row>
    <row r="374" spans="2:10" ht="15">
      <c r="B374" s="459"/>
      <c r="C374" s="278" t="s">
        <v>1783</v>
      </c>
      <c r="D374" s="172"/>
      <c r="E374" s="278"/>
      <c r="F374" s="476">
        <v>3.61</v>
      </c>
      <c r="G374" s="476">
        <v>3.01</v>
      </c>
      <c r="H374" s="476"/>
      <c r="I374" s="475"/>
      <c r="J374" s="474">
        <f t="shared" si="8"/>
        <v>10.866099999999999</v>
      </c>
    </row>
    <row r="375" spans="2:10" ht="15">
      <c r="B375" s="459"/>
      <c r="C375" s="278"/>
      <c r="D375" s="172"/>
      <c r="E375" s="278"/>
      <c r="F375" s="476">
        <v>1.54</v>
      </c>
      <c r="G375" s="476">
        <v>0.56000000000000005</v>
      </c>
      <c r="H375" s="476"/>
      <c r="I375" s="475"/>
      <c r="J375" s="474">
        <f t="shared" si="8"/>
        <v>0.86240000000000006</v>
      </c>
    </row>
    <row r="376" spans="2:10" ht="15">
      <c r="B376" s="459"/>
      <c r="C376" s="278" t="s">
        <v>1782</v>
      </c>
      <c r="D376" s="172"/>
      <c r="E376" s="278"/>
      <c r="F376" s="476">
        <v>28.62</v>
      </c>
      <c r="G376" s="476">
        <v>2.27</v>
      </c>
      <c r="H376" s="476"/>
      <c r="I376" s="475"/>
      <c r="J376" s="474">
        <f t="shared" si="8"/>
        <v>64.967399999999998</v>
      </c>
    </row>
    <row r="377" spans="2:10" ht="15">
      <c r="B377" s="459"/>
      <c r="C377" s="278" t="s">
        <v>1781</v>
      </c>
      <c r="D377" s="172"/>
      <c r="E377" s="278"/>
      <c r="F377" s="476">
        <v>2.95</v>
      </c>
      <c r="G377" s="476">
        <v>7.84</v>
      </c>
      <c r="H377" s="476"/>
      <c r="I377" s="475"/>
      <c r="J377" s="474">
        <f t="shared" si="8"/>
        <v>23.128</v>
      </c>
    </row>
    <row r="378" spans="2:10" ht="15">
      <c r="B378" s="459"/>
      <c r="C378" s="278"/>
      <c r="D378" s="172"/>
      <c r="E378" s="278"/>
      <c r="F378" s="476">
        <v>15.64</v>
      </c>
      <c r="G378" s="476">
        <v>7</v>
      </c>
      <c r="H378" s="476"/>
      <c r="I378" s="475"/>
      <c r="J378" s="474">
        <f t="shared" si="8"/>
        <v>109.48</v>
      </c>
    </row>
    <row r="379" spans="2:10" ht="15">
      <c r="B379" s="459"/>
      <c r="C379" s="278"/>
      <c r="D379" s="172"/>
      <c r="E379" s="278"/>
      <c r="F379" s="476">
        <v>2.11</v>
      </c>
      <c r="G379" s="476">
        <v>4.3499999999999996</v>
      </c>
      <c r="H379" s="476"/>
      <c r="I379" s="475"/>
      <c r="J379" s="474">
        <f t="shared" si="8"/>
        <v>9.1784999999999979</v>
      </c>
    </row>
    <row r="380" spans="2:10" ht="15">
      <c r="B380" s="459"/>
      <c r="C380" s="278" t="s">
        <v>1780</v>
      </c>
      <c r="D380" s="172"/>
      <c r="E380" s="278"/>
      <c r="F380" s="476">
        <v>2.92</v>
      </c>
      <c r="G380" s="476">
        <v>2.1</v>
      </c>
      <c r="H380" s="476"/>
      <c r="I380" s="475"/>
      <c r="J380" s="474">
        <f t="shared" si="8"/>
        <v>6.1319999999999997</v>
      </c>
    </row>
    <row r="381" spans="2:10" ht="15">
      <c r="B381" s="459"/>
      <c r="C381" s="278" t="s">
        <v>1779</v>
      </c>
      <c r="D381" s="172"/>
      <c r="E381" s="278"/>
      <c r="F381" s="476">
        <v>2.92</v>
      </c>
      <c r="G381" s="476">
        <v>2.92</v>
      </c>
      <c r="H381" s="476"/>
      <c r="I381" s="475"/>
      <c r="J381" s="474">
        <f t="shared" si="8"/>
        <v>8.5263999999999989</v>
      </c>
    </row>
    <row r="382" spans="2:10" ht="15">
      <c r="B382" s="459"/>
      <c r="C382" s="278" t="s">
        <v>1778</v>
      </c>
      <c r="D382" s="172"/>
      <c r="E382" s="278"/>
      <c r="F382" s="476">
        <v>2.92</v>
      </c>
      <c r="G382" s="476">
        <v>5.38</v>
      </c>
      <c r="H382" s="476"/>
      <c r="I382" s="475"/>
      <c r="J382" s="474">
        <f t="shared" si="8"/>
        <v>15.7096</v>
      </c>
    </row>
    <row r="383" spans="2:10" ht="15">
      <c r="B383" s="459"/>
      <c r="C383" s="278" t="s">
        <v>1777</v>
      </c>
      <c r="D383" s="172"/>
      <c r="E383" s="278"/>
      <c r="F383" s="476">
        <v>3</v>
      </c>
      <c r="G383" s="476">
        <v>5.15</v>
      </c>
      <c r="H383" s="476"/>
      <c r="I383" s="475"/>
      <c r="J383" s="474">
        <f t="shared" si="8"/>
        <v>15.450000000000001</v>
      </c>
    </row>
    <row r="384" spans="2:10" ht="15">
      <c r="B384" s="459"/>
      <c r="C384" s="278" t="s">
        <v>1776</v>
      </c>
      <c r="D384" s="172"/>
      <c r="E384" s="278"/>
      <c r="F384" s="476">
        <v>1.1599999999999999</v>
      </c>
      <c r="G384" s="476">
        <v>1.85</v>
      </c>
      <c r="H384" s="476"/>
      <c r="I384" s="475"/>
      <c r="J384" s="474">
        <f t="shared" si="8"/>
        <v>2.1459999999999999</v>
      </c>
    </row>
    <row r="385" spans="2:10" ht="15">
      <c r="B385" s="459"/>
      <c r="C385" s="278" t="s">
        <v>1775</v>
      </c>
      <c r="D385" s="172"/>
      <c r="E385" s="278"/>
      <c r="F385" s="476">
        <v>3.79</v>
      </c>
      <c r="G385" s="476">
        <v>1</v>
      </c>
      <c r="H385" s="476"/>
      <c r="I385" s="475"/>
      <c r="J385" s="474">
        <f t="shared" si="8"/>
        <v>3.79</v>
      </c>
    </row>
    <row r="386" spans="2:10" ht="15">
      <c r="B386" s="459"/>
      <c r="C386" s="278" t="s">
        <v>1774</v>
      </c>
      <c r="D386" s="172"/>
      <c r="E386" s="278"/>
      <c r="F386" s="476">
        <v>3</v>
      </c>
      <c r="G386" s="476">
        <v>5.21</v>
      </c>
      <c r="H386" s="476"/>
      <c r="I386" s="475"/>
      <c r="J386" s="474">
        <f t="shared" si="8"/>
        <v>15.629999999999999</v>
      </c>
    </row>
    <row r="387" spans="2:10" ht="15">
      <c r="B387" s="459"/>
      <c r="C387" s="278" t="s">
        <v>1773</v>
      </c>
      <c r="D387" s="172"/>
      <c r="E387" s="278"/>
      <c r="F387" s="476">
        <v>5.15</v>
      </c>
      <c r="G387" s="476">
        <v>5.15</v>
      </c>
      <c r="H387" s="476"/>
      <c r="I387" s="475"/>
      <c r="J387" s="474">
        <f t="shared" si="8"/>
        <v>26.522500000000004</v>
      </c>
    </row>
    <row r="388" spans="2:10" ht="15">
      <c r="B388" s="459"/>
      <c r="C388" s="278" t="s">
        <v>1772</v>
      </c>
      <c r="D388" s="172"/>
      <c r="E388" s="278"/>
      <c r="F388" s="476">
        <v>3.45</v>
      </c>
      <c r="G388" s="476">
        <v>2.25</v>
      </c>
      <c r="H388" s="476"/>
      <c r="I388" s="475"/>
      <c r="J388" s="474">
        <f t="shared" si="8"/>
        <v>7.7625000000000002</v>
      </c>
    </row>
    <row r="389" spans="2:10" ht="15">
      <c r="B389" s="459"/>
      <c r="C389" s="278"/>
      <c r="D389" s="172"/>
      <c r="E389" s="278"/>
      <c r="F389" s="476">
        <v>1.7</v>
      </c>
      <c r="G389" s="476">
        <v>1.53</v>
      </c>
      <c r="H389" s="476"/>
      <c r="I389" s="475"/>
      <c r="J389" s="474">
        <f t="shared" si="8"/>
        <v>2.601</v>
      </c>
    </row>
    <row r="390" spans="2:10" ht="15">
      <c r="B390" s="459"/>
      <c r="C390" s="278" t="s">
        <v>1771</v>
      </c>
      <c r="D390" s="172"/>
      <c r="E390" s="278"/>
      <c r="F390" s="476">
        <v>3.07</v>
      </c>
      <c r="G390" s="476">
        <v>3.45</v>
      </c>
      <c r="H390" s="476"/>
      <c r="I390" s="475"/>
      <c r="J390" s="474">
        <f t="shared" si="8"/>
        <v>10.5915</v>
      </c>
    </row>
    <row r="391" spans="2:10" ht="15">
      <c r="B391" s="459"/>
      <c r="C391" s="278"/>
      <c r="D391" s="172"/>
      <c r="E391" s="278"/>
      <c r="F391" s="476">
        <v>1.7</v>
      </c>
      <c r="G391" s="476">
        <v>2.17</v>
      </c>
      <c r="H391" s="476"/>
      <c r="I391" s="475"/>
      <c r="J391" s="474">
        <f t="shared" si="8"/>
        <v>3.6889999999999996</v>
      </c>
    </row>
    <row r="392" spans="2:10" ht="15">
      <c r="B392" s="459"/>
      <c r="C392" s="278" t="s">
        <v>1745</v>
      </c>
      <c r="D392" s="172"/>
      <c r="E392" s="278"/>
      <c r="F392" s="476">
        <v>2.8</v>
      </c>
      <c r="G392" s="476">
        <v>2.2799999999999998</v>
      </c>
      <c r="H392" s="476"/>
      <c r="I392" s="475"/>
      <c r="J392" s="474">
        <f t="shared" si="8"/>
        <v>6.3839999999999995</v>
      </c>
    </row>
    <row r="393" spans="2:10" ht="15">
      <c r="B393" s="459"/>
      <c r="C393" s="278" t="s">
        <v>1744</v>
      </c>
      <c r="D393" s="172"/>
      <c r="E393" s="278"/>
      <c r="F393" s="476">
        <v>2.2000000000000002</v>
      </c>
      <c r="G393" s="476">
        <v>4.43</v>
      </c>
      <c r="H393" s="476"/>
      <c r="I393" s="475"/>
      <c r="J393" s="474">
        <f t="shared" si="8"/>
        <v>9.7460000000000004</v>
      </c>
    </row>
    <row r="394" spans="2:10" ht="15">
      <c r="B394" s="459"/>
      <c r="C394" s="278" t="s">
        <v>1770</v>
      </c>
      <c r="D394" s="172"/>
      <c r="E394" s="278"/>
      <c r="F394" s="476">
        <v>2</v>
      </c>
      <c r="G394" s="476">
        <v>2.8</v>
      </c>
      <c r="H394" s="476"/>
      <c r="I394" s="475"/>
      <c r="J394" s="474">
        <f t="shared" si="8"/>
        <v>5.6</v>
      </c>
    </row>
    <row r="395" spans="2:10" ht="15">
      <c r="B395" s="459"/>
      <c r="C395" s="278" t="s">
        <v>1743</v>
      </c>
      <c r="D395" s="172"/>
      <c r="E395" s="278"/>
      <c r="F395" s="476">
        <v>12.98</v>
      </c>
      <c r="G395" s="476">
        <v>5.15</v>
      </c>
      <c r="H395" s="476"/>
      <c r="I395" s="475"/>
      <c r="J395" s="474">
        <f t="shared" si="8"/>
        <v>66.847000000000008</v>
      </c>
    </row>
    <row r="396" spans="2:10" ht="15">
      <c r="B396" s="459"/>
      <c r="C396" s="278" t="s">
        <v>1769</v>
      </c>
      <c r="D396" s="172"/>
      <c r="E396" s="278"/>
      <c r="F396" s="476">
        <v>1.0900000000000001</v>
      </c>
      <c r="G396" s="476">
        <v>1.85</v>
      </c>
      <c r="H396" s="476"/>
      <c r="I396" s="475"/>
      <c r="J396" s="474">
        <f t="shared" si="8"/>
        <v>2.0165000000000002</v>
      </c>
    </row>
    <row r="397" spans="2:10" ht="15">
      <c r="B397" s="459"/>
      <c r="C397" s="278" t="s">
        <v>1768</v>
      </c>
      <c r="D397" s="172"/>
      <c r="E397" s="278"/>
      <c r="F397" s="476">
        <v>1.0900000000000001</v>
      </c>
      <c r="G397" s="476">
        <v>1.85</v>
      </c>
      <c r="H397" s="476"/>
      <c r="I397" s="475"/>
      <c r="J397" s="474">
        <f t="shared" si="8"/>
        <v>2.0165000000000002</v>
      </c>
    </row>
    <row r="398" spans="2:10" ht="15">
      <c r="B398" s="459"/>
      <c r="C398" s="278" t="s">
        <v>1767</v>
      </c>
      <c r="D398" s="172"/>
      <c r="E398" s="278"/>
      <c r="F398" s="476">
        <v>1.72</v>
      </c>
      <c r="G398" s="476">
        <v>1.39</v>
      </c>
      <c r="H398" s="476"/>
      <c r="I398" s="475"/>
      <c r="J398" s="474">
        <f t="shared" si="8"/>
        <v>2.3907999999999996</v>
      </c>
    </row>
    <row r="399" spans="2:10" ht="15">
      <c r="B399" s="459"/>
      <c r="C399" s="278" t="s">
        <v>1766</v>
      </c>
      <c r="D399" s="172"/>
      <c r="E399" s="278"/>
      <c r="F399" s="476">
        <v>1.1499999999999999</v>
      </c>
      <c r="G399" s="476">
        <v>1.59</v>
      </c>
      <c r="H399" s="476"/>
      <c r="I399" s="475"/>
      <c r="J399" s="474">
        <f t="shared" ref="J399:J416" si="9">F399*G399</f>
        <v>1.8285</v>
      </c>
    </row>
    <row r="400" spans="2:10" ht="15">
      <c r="B400" s="459"/>
      <c r="C400" s="278" t="s">
        <v>1765</v>
      </c>
      <c r="D400" s="172"/>
      <c r="E400" s="278"/>
      <c r="F400" s="476">
        <v>1.55</v>
      </c>
      <c r="G400" s="476">
        <v>1.47</v>
      </c>
      <c r="H400" s="476"/>
      <c r="I400" s="475"/>
      <c r="J400" s="474">
        <f t="shared" si="9"/>
        <v>2.2785000000000002</v>
      </c>
    </row>
    <row r="401" spans="2:10" ht="15">
      <c r="B401" s="459"/>
      <c r="C401" s="278" t="s">
        <v>1764</v>
      </c>
      <c r="D401" s="172"/>
      <c r="E401" s="278"/>
      <c r="F401" s="476">
        <v>1.01</v>
      </c>
      <c r="G401" s="476">
        <v>1.32</v>
      </c>
      <c r="H401" s="476"/>
      <c r="I401" s="475"/>
      <c r="J401" s="474">
        <f t="shared" si="9"/>
        <v>1.3332000000000002</v>
      </c>
    </row>
    <row r="402" spans="2:10" ht="15">
      <c r="B402" s="459"/>
      <c r="C402" s="278"/>
      <c r="D402" s="172"/>
      <c r="E402" s="278"/>
      <c r="F402" s="476">
        <v>0.94</v>
      </c>
      <c r="G402" s="476">
        <v>1.32</v>
      </c>
      <c r="H402" s="476"/>
      <c r="I402" s="475"/>
      <c r="J402" s="474">
        <f t="shared" si="9"/>
        <v>1.2407999999999999</v>
      </c>
    </row>
    <row r="403" spans="2:10" ht="15">
      <c r="B403" s="459"/>
      <c r="C403" s="278"/>
      <c r="D403" s="172"/>
      <c r="E403" s="278"/>
      <c r="F403" s="476">
        <v>2.13</v>
      </c>
      <c r="G403" s="476">
        <v>1.02</v>
      </c>
      <c r="H403" s="476"/>
      <c r="I403" s="475"/>
      <c r="J403" s="474">
        <f t="shared" si="9"/>
        <v>2.1726000000000001</v>
      </c>
    </row>
    <row r="404" spans="2:10" ht="15">
      <c r="B404" s="459"/>
      <c r="C404" s="278" t="s">
        <v>1738</v>
      </c>
      <c r="D404" s="172"/>
      <c r="E404" s="278"/>
      <c r="F404" s="476">
        <v>0.94</v>
      </c>
      <c r="G404" s="476">
        <v>1.32</v>
      </c>
      <c r="H404" s="476"/>
      <c r="I404" s="475"/>
      <c r="J404" s="474">
        <f t="shared" si="9"/>
        <v>1.2407999999999999</v>
      </c>
    </row>
    <row r="405" spans="2:10" ht="15">
      <c r="B405" s="459"/>
      <c r="C405" s="278"/>
      <c r="D405" s="172"/>
      <c r="E405" s="278"/>
      <c r="F405" s="476">
        <v>1.01</v>
      </c>
      <c r="G405" s="476">
        <v>1.32</v>
      </c>
      <c r="H405" s="476"/>
      <c r="I405" s="475"/>
      <c r="J405" s="474">
        <f t="shared" si="9"/>
        <v>1.3332000000000002</v>
      </c>
    </row>
    <row r="406" spans="2:10" ht="15">
      <c r="B406" s="459"/>
      <c r="C406" s="278"/>
      <c r="D406" s="172"/>
      <c r="E406" s="278"/>
      <c r="F406" s="476">
        <v>2.37</v>
      </c>
      <c r="G406" s="476">
        <v>2.0699999999999998</v>
      </c>
      <c r="H406" s="476"/>
      <c r="I406" s="475"/>
      <c r="J406" s="474">
        <f t="shared" si="9"/>
        <v>4.9058999999999999</v>
      </c>
    </row>
    <row r="407" spans="2:10" ht="15">
      <c r="B407" s="459"/>
      <c r="C407" s="278"/>
      <c r="D407" s="172"/>
      <c r="E407" s="278"/>
      <c r="F407" s="476">
        <v>1.2</v>
      </c>
      <c r="G407" s="476">
        <v>1.2</v>
      </c>
      <c r="H407" s="476"/>
      <c r="I407" s="475"/>
      <c r="J407" s="474">
        <f t="shared" si="9"/>
        <v>1.44</v>
      </c>
    </row>
    <row r="408" spans="2:10" ht="15">
      <c r="B408" s="459"/>
      <c r="C408" s="278" t="s">
        <v>1737</v>
      </c>
      <c r="D408" s="172"/>
      <c r="E408" s="278"/>
      <c r="F408" s="476">
        <v>0.89</v>
      </c>
      <c r="G408" s="476">
        <v>1.1499999999999999</v>
      </c>
      <c r="H408" s="476"/>
      <c r="I408" s="475"/>
      <c r="J408" s="474">
        <f t="shared" si="9"/>
        <v>1.0234999999999999</v>
      </c>
    </row>
    <row r="409" spans="2:10" ht="15">
      <c r="B409" s="459"/>
      <c r="C409" s="278"/>
      <c r="D409" s="172"/>
      <c r="E409" s="278"/>
      <c r="F409" s="476">
        <v>0.89</v>
      </c>
      <c r="G409" s="476">
        <v>1.1499999999999999</v>
      </c>
      <c r="H409" s="476"/>
      <c r="I409" s="475"/>
      <c r="J409" s="474">
        <f t="shared" si="9"/>
        <v>1.0234999999999999</v>
      </c>
    </row>
    <row r="410" spans="2:10" ht="15">
      <c r="B410" s="459"/>
      <c r="C410" s="278"/>
      <c r="D410" s="172"/>
      <c r="E410" s="278"/>
      <c r="F410" s="476">
        <v>3.05</v>
      </c>
      <c r="G410" s="476">
        <v>1.93</v>
      </c>
      <c r="H410" s="476"/>
      <c r="I410" s="475"/>
      <c r="J410" s="474">
        <f t="shared" si="9"/>
        <v>5.8864999999999998</v>
      </c>
    </row>
    <row r="411" spans="2:10" ht="15">
      <c r="B411" s="459"/>
      <c r="C411" s="278" t="s">
        <v>1763</v>
      </c>
      <c r="D411" s="172"/>
      <c r="E411" s="278"/>
      <c r="F411" s="476">
        <v>0.95</v>
      </c>
      <c r="G411" s="476">
        <v>1.1499999999999999</v>
      </c>
      <c r="H411" s="476"/>
      <c r="I411" s="475"/>
      <c r="J411" s="474">
        <f t="shared" si="9"/>
        <v>1.0924999999999998</v>
      </c>
    </row>
    <row r="412" spans="2:10" ht="15">
      <c r="B412" s="459"/>
      <c r="C412" s="278"/>
      <c r="D412" s="172"/>
      <c r="E412" s="278"/>
      <c r="F412" s="476">
        <v>0.95</v>
      </c>
      <c r="G412" s="476">
        <v>1.1499999999999999</v>
      </c>
      <c r="H412" s="476"/>
      <c r="I412" s="475"/>
      <c r="J412" s="474">
        <f t="shared" si="9"/>
        <v>1.0924999999999998</v>
      </c>
    </row>
    <row r="413" spans="2:10" ht="15">
      <c r="B413" s="459"/>
      <c r="C413" s="278"/>
      <c r="D413" s="172"/>
      <c r="E413" s="278"/>
      <c r="F413" s="476">
        <v>3.05</v>
      </c>
      <c r="G413" s="476">
        <v>2.21</v>
      </c>
      <c r="H413" s="476"/>
      <c r="I413" s="475"/>
      <c r="J413" s="474">
        <f t="shared" si="9"/>
        <v>6.7404999999999999</v>
      </c>
    </row>
    <row r="414" spans="2:10" ht="15">
      <c r="B414" s="459"/>
      <c r="C414" s="278" t="s">
        <v>1739</v>
      </c>
      <c r="D414" s="172"/>
      <c r="E414" s="278"/>
      <c r="F414" s="476">
        <v>2.66</v>
      </c>
      <c r="G414" s="476">
        <v>4.3499999999999996</v>
      </c>
      <c r="H414" s="476"/>
      <c r="I414" s="475"/>
      <c r="J414" s="474">
        <f t="shared" si="9"/>
        <v>11.571</v>
      </c>
    </row>
    <row r="415" spans="2:10" ht="15">
      <c r="B415" s="459"/>
      <c r="C415" s="278" t="s">
        <v>1728</v>
      </c>
      <c r="D415" s="172"/>
      <c r="E415" s="278"/>
      <c r="F415" s="476">
        <v>2.2999999999999998</v>
      </c>
      <c r="G415" s="476">
        <v>3.27</v>
      </c>
      <c r="H415" s="476"/>
      <c r="I415" s="475"/>
      <c r="J415" s="474">
        <f t="shared" si="9"/>
        <v>7.520999999999999</v>
      </c>
    </row>
    <row r="416" spans="2:10" ht="15">
      <c r="B416" s="459"/>
      <c r="C416" s="278" t="s">
        <v>1762</v>
      </c>
      <c r="D416" s="172"/>
      <c r="E416" s="278"/>
      <c r="F416" s="476">
        <v>21.44</v>
      </c>
      <c r="G416" s="476">
        <v>2.54</v>
      </c>
      <c r="H416" s="476"/>
      <c r="I416" s="475"/>
      <c r="J416" s="474">
        <f t="shared" si="9"/>
        <v>54.457600000000006</v>
      </c>
    </row>
    <row r="417" spans="1:10" ht="15">
      <c r="B417" s="459"/>
      <c r="C417" s="278"/>
      <c r="D417" s="172"/>
      <c r="E417" s="278"/>
      <c r="F417" s="476"/>
      <c r="G417" s="476"/>
      <c r="H417" s="476"/>
      <c r="I417" s="475"/>
      <c r="J417" s="474"/>
    </row>
    <row r="418" spans="1:10" s="449" customFormat="1" ht="30">
      <c r="A418" s="515"/>
      <c r="B418" s="454" t="s">
        <v>1894</v>
      </c>
      <c r="C418" s="368" t="s">
        <v>1893</v>
      </c>
      <c r="D418" s="453" t="s">
        <v>1156</v>
      </c>
      <c r="E418" s="368"/>
      <c r="F418" s="514"/>
      <c r="G418" s="514"/>
      <c r="H418" s="514"/>
      <c r="I418" s="513" t="s">
        <v>1891</v>
      </c>
      <c r="J418" s="512">
        <f>ROUND((J24+(J56*0.025)+(J134*0.02))*1.3,2)</f>
        <v>83.18</v>
      </c>
    </row>
    <row r="419" spans="1:10" s="449" customFormat="1" ht="30">
      <c r="A419" s="515"/>
      <c r="B419" s="454" t="s">
        <v>1698</v>
      </c>
      <c r="C419" s="368" t="s">
        <v>1892</v>
      </c>
      <c r="D419" s="453" t="s">
        <v>1156</v>
      </c>
      <c r="E419" s="368"/>
      <c r="F419" s="514"/>
      <c r="G419" s="514"/>
      <c r="H419" s="514"/>
      <c r="I419" s="513" t="s">
        <v>1891</v>
      </c>
      <c r="J419" s="512">
        <f>J418</f>
        <v>83.18</v>
      </c>
    </row>
    <row r="420" spans="1:10" s="444" customFormat="1" ht="15">
      <c r="A420" s="511"/>
      <c r="B420" s="448"/>
      <c r="C420" s="278"/>
      <c r="D420" s="436"/>
      <c r="E420" s="278"/>
      <c r="F420" s="510"/>
      <c r="G420" s="510"/>
      <c r="H420" s="510"/>
      <c r="I420" s="509"/>
      <c r="J420" s="508"/>
    </row>
    <row r="421" spans="1:10" ht="15">
      <c r="B421" s="434">
        <v>3</v>
      </c>
      <c r="C421" s="507" t="s">
        <v>605</v>
      </c>
      <c r="D421" s="507"/>
      <c r="E421" s="507"/>
      <c r="F421" s="505"/>
      <c r="G421" s="505"/>
      <c r="H421" s="505"/>
      <c r="I421" s="504"/>
      <c r="J421" s="503"/>
    </row>
    <row r="422" spans="1:10" ht="15">
      <c r="B422" s="437" t="s">
        <v>553</v>
      </c>
      <c r="C422" s="507" t="str">
        <f>'[5]PLANILHA ORÇAMENTÁRIA'!E65</f>
        <v>ALVENARIA DE VEDAÇÃO - 1o PAVIMENTO</v>
      </c>
      <c r="D422" s="506"/>
      <c r="E422" s="442"/>
      <c r="F422" s="505"/>
      <c r="G422" s="505"/>
      <c r="H422" s="505"/>
      <c r="I422" s="504"/>
      <c r="J422" s="503"/>
    </row>
    <row r="423" spans="1:10" ht="38.25">
      <c r="B423" s="459" t="s">
        <v>555</v>
      </c>
      <c r="C423" s="278" t="str">
        <f>ORCAMENTO!D340</f>
        <v>Alvenaria de vedação horizontal em tijolos cerâmicos Dimensões nominais: 14x19x39; assentamento em argamassa no traço 1:2:8 (cimento, cal e areia) para parede externa</v>
      </c>
      <c r="D423" s="172" t="s">
        <v>543</v>
      </c>
      <c r="E423" s="278"/>
      <c r="F423" s="476"/>
      <c r="G423" s="476"/>
      <c r="H423" s="476"/>
      <c r="I423" s="475"/>
      <c r="J423" s="474">
        <f>SUM(J424:J441)</f>
        <v>93.767400000000009</v>
      </c>
    </row>
    <row r="424" spans="1:10" ht="15">
      <c r="B424" s="459"/>
      <c r="C424" s="278" t="s">
        <v>1777</v>
      </c>
      <c r="D424" s="172"/>
      <c r="E424" s="278">
        <v>1</v>
      </c>
      <c r="F424" s="476">
        <v>3</v>
      </c>
      <c r="G424" s="476"/>
      <c r="H424" s="476">
        <v>2.83</v>
      </c>
      <c r="I424" s="479" t="s">
        <v>1890</v>
      </c>
      <c r="J424" s="474">
        <f>ROUND((E424*F424*H424)-(1*0.8*2.1),2)</f>
        <v>6.81</v>
      </c>
    </row>
    <row r="425" spans="1:10" ht="15">
      <c r="B425" s="459"/>
      <c r="C425" s="278" t="s">
        <v>1889</v>
      </c>
      <c r="D425" s="172"/>
      <c r="E425" s="278">
        <v>3</v>
      </c>
      <c r="F425" s="476">
        <v>1.85</v>
      </c>
      <c r="G425" s="476"/>
      <c r="H425" s="476">
        <v>2.83</v>
      </c>
      <c r="I425" s="475"/>
      <c r="J425" s="474">
        <f>E425*F425*H425</f>
        <v>15.706500000000002</v>
      </c>
    </row>
    <row r="426" spans="1:10" ht="15">
      <c r="B426" s="459"/>
      <c r="C426" s="278"/>
      <c r="D426" s="172"/>
      <c r="E426" s="278">
        <v>1</v>
      </c>
      <c r="F426" s="476">
        <v>3.79</v>
      </c>
      <c r="G426" s="476"/>
      <c r="H426" s="476">
        <v>2.83</v>
      </c>
      <c r="I426" s="479" t="s">
        <v>1888</v>
      </c>
      <c r="J426" s="474">
        <f>ROUND((E426*F426*H426)-(3*0.6*2.1),2)</f>
        <v>6.95</v>
      </c>
    </row>
    <row r="427" spans="1:10" ht="15">
      <c r="B427" s="459"/>
      <c r="C427" s="278" t="s">
        <v>1801</v>
      </c>
      <c r="D427" s="172"/>
      <c r="E427" s="278">
        <v>1</v>
      </c>
      <c r="F427" s="476">
        <v>0.8</v>
      </c>
      <c r="G427" s="476"/>
      <c r="H427" s="476">
        <v>2.1</v>
      </c>
      <c r="I427" s="475"/>
      <c r="J427" s="474">
        <f>E427*F427*H427</f>
        <v>1.6800000000000002</v>
      </c>
    </row>
    <row r="428" spans="1:10" ht="15">
      <c r="B428" s="459"/>
      <c r="C428" s="278" t="s">
        <v>1887</v>
      </c>
      <c r="D428" s="172"/>
      <c r="E428" s="278">
        <v>1</v>
      </c>
      <c r="F428" s="476">
        <v>4.43</v>
      </c>
      <c r="G428" s="476"/>
      <c r="H428" s="476">
        <v>2.83</v>
      </c>
      <c r="I428" s="475"/>
      <c r="J428" s="474">
        <f>E428*F428*H428</f>
        <v>12.536899999999999</v>
      </c>
    </row>
    <row r="429" spans="1:10" ht="15">
      <c r="B429" s="459"/>
      <c r="C429" s="278"/>
      <c r="D429" s="172"/>
      <c r="E429" s="278">
        <v>1</v>
      </c>
      <c r="F429" s="476">
        <v>2.8</v>
      </c>
      <c r="G429" s="476"/>
      <c r="H429" s="476">
        <v>2.83</v>
      </c>
      <c r="I429" s="475"/>
      <c r="J429" s="474">
        <f>E429*F429*H429</f>
        <v>7.9239999999999995</v>
      </c>
    </row>
    <row r="430" spans="1:10" ht="15">
      <c r="B430" s="459"/>
      <c r="C430" s="278"/>
      <c r="D430" s="172"/>
      <c r="E430" s="278">
        <v>1</v>
      </c>
      <c r="F430" s="476">
        <v>0.9</v>
      </c>
      <c r="G430" s="476"/>
      <c r="H430" s="476">
        <v>2.1</v>
      </c>
      <c r="I430" s="475"/>
      <c r="J430" s="474">
        <f>E430*F430*H430</f>
        <v>1.8900000000000001</v>
      </c>
    </row>
    <row r="431" spans="1:10" ht="15">
      <c r="B431" s="459"/>
      <c r="C431" s="278"/>
      <c r="D431" s="172"/>
      <c r="E431" s="278">
        <v>1</v>
      </c>
      <c r="F431" s="476">
        <v>1.4</v>
      </c>
      <c r="G431" s="476"/>
      <c r="H431" s="476">
        <v>2.1</v>
      </c>
      <c r="I431" s="475"/>
      <c r="J431" s="474">
        <f>E431*F431*H431</f>
        <v>2.94</v>
      </c>
    </row>
    <row r="432" spans="1:10" ht="15">
      <c r="B432" s="459"/>
      <c r="C432" s="278"/>
      <c r="D432" s="172"/>
      <c r="E432" s="278">
        <v>1</v>
      </c>
      <c r="F432" s="476">
        <v>5.15</v>
      </c>
      <c r="G432" s="476"/>
      <c r="H432" s="476">
        <v>2.83</v>
      </c>
      <c r="I432" s="479" t="s">
        <v>1886</v>
      </c>
      <c r="J432" s="474">
        <f>ROUND((E432*F432*H432)-(2*0.8*2.1),2)</f>
        <v>11.21</v>
      </c>
    </row>
    <row r="433" spans="2:10" ht="15">
      <c r="B433" s="459"/>
      <c r="C433" s="278" t="s">
        <v>1885</v>
      </c>
      <c r="D433" s="172"/>
      <c r="E433" s="278">
        <v>3</v>
      </c>
      <c r="F433" s="476">
        <v>0.8</v>
      </c>
      <c r="G433" s="476"/>
      <c r="H433" s="476">
        <v>2.1</v>
      </c>
      <c r="I433" s="475"/>
      <c r="J433" s="474">
        <f>E433*F433*H433</f>
        <v>5.0400000000000009</v>
      </c>
    </row>
    <row r="434" spans="2:10" ht="15">
      <c r="B434" s="459"/>
      <c r="C434" s="278" t="s">
        <v>1884</v>
      </c>
      <c r="D434" s="172"/>
      <c r="E434" s="278">
        <v>1</v>
      </c>
      <c r="F434" s="476">
        <v>0.8</v>
      </c>
      <c r="G434" s="476"/>
      <c r="H434" s="476">
        <v>2.1</v>
      </c>
      <c r="I434" s="475"/>
      <c r="J434" s="474">
        <f>E434*F434*H434</f>
        <v>1.6800000000000002</v>
      </c>
    </row>
    <row r="435" spans="2:10" ht="15">
      <c r="B435" s="459"/>
      <c r="C435" s="278" t="s">
        <v>1728</v>
      </c>
      <c r="D435" s="172"/>
      <c r="E435" s="278">
        <v>1</v>
      </c>
      <c r="F435" s="476">
        <v>4.3499999999999996</v>
      </c>
      <c r="G435" s="476"/>
      <c r="H435" s="476">
        <v>2.83</v>
      </c>
      <c r="I435" s="479" t="s">
        <v>1883</v>
      </c>
      <c r="J435" s="474">
        <f>ROUND((E435*F435*H435)-(1*0.9*2.1),2)</f>
        <v>10.42</v>
      </c>
    </row>
    <row r="436" spans="2:10" ht="15">
      <c r="B436" s="459"/>
      <c r="C436" s="278"/>
      <c r="D436" s="172"/>
      <c r="E436" s="278">
        <v>1</v>
      </c>
      <c r="F436" s="476">
        <f>0.79+0.15</f>
        <v>0.94000000000000006</v>
      </c>
      <c r="G436" s="476"/>
      <c r="H436" s="476">
        <v>2.83</v>
      </c>
      <c r="I436" s="479" t="s">
        <v>1883</v>
      </c>
      <c r="J436" s="474">
        <f>ROUND((E436*F436*H436)-(1*0.9*2.1),2)</f>
        <v>0.77</v>
      </c>
    </row>
    <row r="437" spans="2:10" ht="15">
      <c r="B437" s="459"/>
      <c r="C437" s="278"/>
      <c r="D437" s="172"/>
      <c r="E437" s="278">
        <v>1</v>
      </c>
      <c r="F437" s="476">
        <v>0.8</v>
      </c>
      <c r="G437" s="476"/>
      <c r="H437" s="476">
        <v>2.1</v>
      </c>
      <c r="I437" s="475"/>
      <c r="J437" s="474"/>
    </row>
    <row r="438" spans="2:10" ht="15">
      <c r="B438" s="459"/>
      <c r="C438" s="278" t="s">
        <v>1882</v>
      </c>
      <c r="D438" s="172"/>
      <c r="E438" s="278">
        <v>1</v>
      </c>
      <c r="F438" s="476">
        <v>1</v>
      </c>
      <c r="G438" s="476"/>
      <c r="H438" s="476">
        <v>2.83</v>
      </c>
      <c r="I438" s="475"/>
      <c r="J438" s="474">
        <f>E438*F438*H438</f>
        <v>2.83</v>
      </c>
    </row>
    <row r="439" spans="2:10" ht="15">
      <c r="B439" s="459"/>
      <c r="C439" s="278"/>
      <c r="D439" s="172"/>
      <c r="E439" s="278"/>
      <c r="F439" s="476"/>
      <c r="G439" s="476"/>
      <c r="H439" s="476"/>
      <c r="I439" s="475"/>
      <c r="J439" s="474"/>
    </row>
    <row r="440" spans="2:10" ht="15">
      <c r="B440" s="459"/>
      <c r="C440" s="278" t="s">
        <v>1881</v>
      </c>
      <c r="D440" s="172"/>
      <c r="E440" s="278"/>
      <c r="F440" s="476"/>
      <c r="G440" s="476"/>
      <c r="H440" s="476"/>
      <c r="I440" s="475"/>
      <c r="J440" s="474"/>
    </row>
    <row r="441" spans="2:10" ht="15">
      <c r="B441" s="459"/>
      <c r="C441" s="278" t="s">
        <v>1781</v>
      </c>
      <c r="D441" s="172"/>
      <c r="E441" s="278">
        <v>2</v>
      </c>
      <c r="F441" s="476">
        <v>0.45</v>
      </c>
      <c r="G441" s="476">
        <v>0.5</v>
      </c>
      <c r="H441" s="476">
        <v>2.83</v>
      </c>
      <c r="I441" s="475"/>
      <c r="J441" s="474">
        <f>ROUND((F441+G441)*2*H441,2)</f>
        <v>5.38</v>
      </c>
    </row>
    <row r="442" spans="2:10" ht="15">
      <c r="B442" s="459"/>
      <c r="C442" s="278"/>
      <c r="D442" s="172"/>
      <c r="E442" s="278"/>
      <c r="F442" s="476"/>
      <c r="G442" s="476"/>
      <c r="H442" s="476"/>
      <c r="I442" s="475"/>
      <c r="J442" s="474"/>
    </row>
    <row r="443" spans="2:10" s="460" customFormat="1" ht="38.25">
      <c r="B443" s="464" t="s">
        <v>572</v>
      </c>
      <c r="C443" s="368" t="s">
        <v>1693</v>
      </c>
      <c r="D443" s="289" t="s">
        <v>543</v>
      </c>
      <c r="E443" s="368"/>
      <c r="F443" s="478"/>
      <c r="G443" s="478"/>
      <c r="H443" s="478"/>
      <c r="I443" s="477"/>
      <c r="J443" s="469">
        <f>SUM(J444)</f>
        <v>14.04</v>
      </c>
    </row>
    <row r="444" spans="2:10" ht="15">
      <c r="B444" s="459"/>
      <c r="C444" s="278" t="s">
        <v>1880</v>
      </c>
      <c r="D444" s="172"/>
      <c r="E444" s="278">
        <v>3</v>
      </c>
      <c r="F444" s="476">
        <v>2.6</v>
      </c>
      <c r="G444" s="476"/>
      <c r="H444" s="476">
        <v>1.8</v>
      </c>
      <c r="I444" s="475"/>
      <c r="J444" s="474">
        <f>ROUND(E444*F444*H444,2)</f>
        <v>14.04</v>
      </c>
    </row>
    <row r="445" spans="2:10" ht="15">
      <c r="B445" s="434"/>
      <c r="C445" s="442"/>
      <c r="D445" s="442"/>
      <c r="E445" s="442"/>
      <c r="F445" s="489"/>
      <c r="G445" s="489"/>
      <c r="H445" s="489"/>
      <c r="I445" s="456"/>
      <c r="J445" s="455"/>
    </row>
    <row r="446" spans="2:10" ht="15">
      <c r="B446" s="434">
        <v>4</v>
      </c>
      <c r="C446" s="123" t="s">
        <v>619</v>
      </c>
      <c r="D446" s="123"/>
      <c r="E446" s="123"/>
      <c r="F446" s="485"/>
      <c r="G446" s="485"/>
      <c r="H446" s="485"/>
      <c r="I446" s="432"/>
      <c r="J446" s="431"/>
    </row>
    <row r="447" spans="2:10" ht="15">
      <c r="B447" s="437" t="s">
        <v>577</v>
      </c>
      <c r="C447" s="123" t="str">
        <f>'[5]PLANILHA ORÇAMENTÁRIA'!E73</f>
        <v>PORTAS DE MADEIRA - PM</v>
      </c>
      <c r="D447" s="176"/>
      <c r="E447" s="123"/>
      <c r="F447" s="485"/>
      <c r="G447" s="485"/>
      <c r="H447" s="485"/>
      <c r="I447" s="432"/>
      <c r="J447" s="431"/>
    </row>
    <row r="448" spans="2:10" ht="51">
      <c r="B448" s="459" t="s">
        <v>578</v>
      </c>
      <c r="C448" s="278" t="s">
        <v>1690</v>
      </c>
      <c r="D448" s="172" t="s">
        <v>23</v>
      </c>
      <c r="E448" s="278">
        <v>14</v>
      </c>
      <c r="F448" s="476"/>
      <c r="G448" s="476"/>
      <c r="H448" s="476"/>
      <c r="I448" s="475"/>
      <c r="J448" s="474">
        <v>14</v>
      </c>
    </row>
    <row r="449" spans="2:10" ht="51">
      <c r="B449" s="459" t="s">
        <v>580</v>
      </c>
      <c r="C449" s="278" t="s">
        <v>1689</v>
      </c>
      <c r="D449" s="172" t="s">
        <v>23</v>
      </c>
      <c r="E449" s="278">
        <v>5</v>
      </c>
      <c r="F449" s="476"/>
      <c r="G449" s="476"/>
      <c r="H449" s="476"/>
      <c r="I449" s="475"/>
      <c r="J449" s="474">
        <f>E449</f>
        <v>5</v>
      </c>
    </row>
    <row r="450" spans="2:10" ht="51">
      <c r="B450" s="459" t="s">
        <v>581</v>
      </c>
      <c r="C450" s="278" t="s">
        <v>1688</v>
      </c>
      <c r="D450" s="172" t="s">
        <v>23</v>
      </c>
      <c r="E450" s="278">
        <v>42</v>
      </c>
      <c r="F450" s="476"/>
      <c r="G450" s="476"/>
      <c r="H450" s="476"/>
      <c r="I450" s="475"/>
      <c r="J450" s="474">
        <f>E450</f>
        <v>42</v>
      </c>
    </row>
    <row r="451" spans="2:10" ht="51">
      <c r="B451" s="459" t="s">
        <v>582</v>
      </c>
      <c r="C451" s="278" t="s">
        <v>1687</v>
      </c>
      <c r="D451" s="172" t="s">
        <v>23</v>
      </c>
      <c r="E451" s="278">
        <v>4</v>
      </c>
      <c r="F451" s="476"/>
      <c r="G451" s="476"/>
      <c r="H451" s="476"/>
      <c r="I451" s="475"/>
      <c r="J451" s="474">
        <f>E451</f>
        <v>4</v>
      </c>
    </row>
    <row r="452" spans="2:10" ht="25.5">
      <c r="B452" s="459"/>
      <c r="C452" s="278" t="s">
        <v>1686</v>
      </c>
      <c r="D452" s="172" t="s">
        <v>610</v>
      </c>
      <c r="E452" s="278">
        <v>1</v>
      </c>
      <c r="F452" s="476">
        <v>0.8</v>
      </c>
      <c r="G452" s="476"/>
      <c r="H452" s="476">
        <v>2.1</v>
      </c>
      <c r="I452" s="475"/>
      <c r="J452" s="474">
        <f>E452*F452*H452</f>
        <v>1.6800000000000002</v>
      </c>
    </row>
    <row r="453" spans="2:10" ht="38.25">
      <c r="B453" s="459"/>
      <c r="C453" s="278" t="s">
        <v>1685</v>
      </c>
      <c r="D453" s="172" t="s">
        <v>610</v>
      </c>
      <c r="E453" s="278">
        <v>2</v>
      </c>
      <c r="F453" s="476">
        <v>0.9</v>
      </c>
      <c r="G453" s="476"/>
      <c r="H453" s="476">
        <v>2.1</v>
      </c>
      <c r="I453" s="475"/>
      <c r="J453" s="474">
        <f>E453*F453*H453</f>
        <v>3.7800000000000002</v>
      </c>
    </row>
    <row r="454" spans="2:10" ht="15">
      <c r="B454" s="459"/>
      <c r="C454" s="278"/>
      <c r="D454" s="172"/>
      <c r="E454" s="278"/>
      <c r="F454" s="476"/>
      <c r="G454" s="476"/>
      <c r="H454" s="476"/>
      <c r="I454" s="475"/>
      <c r="J454" s="474"/>
    </row>
    <row r="455" spans="2:10" ht="38.25">
      <c r="B455" s="459" t="s">
        <v>586</v>
      </c>
      <c r="C455" s="278" t="str">
        <f>ORCAMENTO!D350</f>
        <v>FECHADURA DE EMBUTIR COM CILINDRO, EXTERNA, COMPLETA, ACABAMENTO PADRÃO POPULAR, INCLUSO EXECUÇÃO DE FURO - FORNECIMENTO E INSTALAÇÃO. AF_08/2015</v>
      </c>
      <c r="D455" s="172" t="str">
        <f>ORCAMENTO!F350</f>
        <v>UN</v>
      </c>
      <c r="E455" s="278">
        <f>SUM(E448,E449,E450,E451,E452)</f>
        <v>66</v>
      </c>
      <c r="F455" s="476"/>
      <c r="G455" s="476"/>
      <c r="H455" s="476"/>
      <c r="I455" s="475"/>
      <c r="J455" s="474">
        <f>E455</f>
        <v>66</v>
      </c>
    </row>
    <row r="456" spans="2:10" ht="15">
      <c r="B456" s="459"/>
      <c r="C456" s="278"/>
      <c r="D456" s="172"/>
      <c r="E456" s="278"/>
      <c r="F456" s="476"/>
      <c r="G456" s="476"/>
      <c r="H456" s="476"/>
      <c r="I456" s="475"/>
      <c r="J456" s="474"/>
    </row>
    <row r="457" spans="2:10" s="460" customFormat="1" ht="25.5">
      <c r="B457" s="464"/>
      <c r="C457" s="368" t="s">
        <v>1682</v>
      </c>
      <c r="D457" s="289"/>
      <c r="E457" s="368"/>
      <c r="F457" s="478"/>
      <c r="G457" s="478"/>
      <c r="H457" s="478"/>
      <c r="I457" s="477"/>
      <c r="J457" s="469">
        <f>SUM(J458:J461)</f>
        <v>15.399999999999999</v>
      </c>
    </row>
    <row r="458" spans="2:10" ht="15">
      <c r="B458" s="459"/>
      <c r="C458" s="278" t="s">
        <v>1758</v>
      </c>
      <c r="D458" s="172" t="s">
        <v>698</v>
      </c>
      <c r="E458" s="278">
        <f>3</f>
        <v>3</v>
      </c>
      <c r="F458" s="476">
        <v>1</v>
      </c>
      <c r="G458" s="476"/>
      <c r="H458" s="476"/>
      <c r="I458" s="475"/>
      <c r="J458" s="474">
        <f>E458*F458</f>
        <v>3</v>
      </c>
    </row>
    <row r="459" spans="2:10" ht="15">
      <c r="B459" s="459"/>
      <c r="C459" s="278" t="s">
        <v>1756</v>
      </c>
      <c r="D459" s="172" t="s">
        <v>698</v>
      </c>
      <c r="E459" s="278">
        <f>1+4+1</f>
        <v>6</v>
      </c>
      <c r="F459" s="476">
        <v>1.2</v>
      </c>
      <c r="G459" s="476"/>
      <c r="H459" s="476"/>
      <c r="I459" s="475"/>
      <c r="J459" s="474">
        <f>E459*F459</f>
        <v>7.1999999999999993</v>
      </c>
    </row>
    <row r="460" spans="2:10" ht="15">
      <c r="B460" s="459"/>
      <c r="C460" s="278" t="s">
        <v>1755</v>
      </c>
      <c r="D460" s="172" t="s">
        <v>698</v>
      </c>
      <c r="E460" s="278">
        <f>2</f>
        <v>2</v>
      </c>
      <c r="F460" s="476">
        <v>1.3</v>
      </c>
      <c r="G460" s="476"/>
      <c r="H460" s="476"/>
      <c r="I460" s="475"/>
      <c r="J460" s="474">
        <f>E460*F460</f>
        <v>2.6</v>
      </c>
    </row>
    <row r="461" spans="2:10" ht="15">
      <c r="B461" s="459"/>
      <c r="C461" s="278" t="s">
        <v>1846</v>
      </c>
      <c r="D461" s="172" t="s">
        <v>698</v>
      </c>
      <c r="E461" s="278">
        <v>2</v>
      </c>
      <c r="F461" s="476">
        <v>1.3</v>
      </c>
      <c r="G461" s="476"/>
      <c r="H461" s="476"/>
      <c r="I461" s="475"/>
      <c r="J461" s="474">
        <f>E461*F461</f>
        <v>2.6</v>
      </c>
    </row>
    <row r="462" spans="2:10" ht="15">
      <c r="B462" s="459"/>
      <c r="C462" s="278"/>
      <c r="D462" s="172"/>
      <c r="E462" s="278"/>
      <c r="F462" s="476"/>
      <c r="G462" s="476"/>
      <c r="H462" s="476"/>
      <c r="I462" s="475"/>
      <c r="J462" s="474"/>
    </row>
    <row r="463" spans="2:10" ht="15">
      <c r="B463" s="434">
        <v>5</v>
      </c>
      <c r="C463" s="123" t="s">
        <v>644</v>
      </c>
      <c r="D463" s="123"/>
      <c r="E463" s="123"/>
      <c r="F463" s="485"/>
      <c r="G463" s="485"/>
      <c r="H463" s="485"/>
      <c r="I463" s="432"/>
      <c r="J463" s="431"/>
    </row>
    <row r="464" spans="2:10" ht="51">
      <c r="B464" s="459" t="s">
        <v>591</v>
      </c>
      <c r="C464" s="278" t="str">
        <f>ORCAMENTO!D353</f>
        <v>TELHAMENTO COM TELHA ONDULADA DE FIBROCIMENTO E = 6 MM, COM RECOBRIMENTO LATERAL DE 1/4 DE ONDA PARA TELHADO COM INCLINAÇÃO MAIOR QUE 10°, COM ATÉ 2 ÁGUAS, INCLUSO IÇAMENTO. AF_06/2016 (TROCA DE 50% DO TELHADO)</v>
      </c>
      <c r="D464" s="172" t="str">
        <f>'[5]PLANILHA ORÇAMENTÁRIA'!F100</f>
        <v>M2</v>
      </c>
      <c r="E464" s="502">
        <v>0.5</v>
      </c>
      <c r="F464" s="476">
        <v>46.25</v>
      </c>
      <c r="G464" s="476">
        <v>19.25</v>
      </c>
      <c r="H464" s="476"/>
      <c r="I464" s="475"/>
      <c r="J464" s="474">
        <f>E464*F464*G464</f>
        <v>445.15625</v>
      </c>
    </row>
    <row r="465" spans="2:10" ht="15">
      <c r="B465" s="459"/>
      <c r="C465" s="278"/>
      <c r="D465" s="172"/>
      <c r="E465" s="502"/>
      <c r="F465" s="476"/>
      <c r="G465" s="476"/>
      <c r="H465" s="476"/>
      <c r="I465" s="475"/>
      <c r="J465" s="474"/>
    </row>
    <row r="466" spans="2:10" ht="15">
      <c r="B466" s="434">
        <v>6</v>
      </c>
      <c r="C466" s="123" t="s">
        <v>661</v>
      </c>
      <c r="D466" s="123"/>
      <c r="E466" s="123"/>
      <c r="F466" s="485"/>
      <c r="G466" s="485"/>
      <c r="H466" s="485"/>
      <c r="I466" s="432"/>
      <c r="J466" s="431"/>
    </row>
    <row r="467" spans="2:10" s="460" customFormat="1" ht="25.5">
      <c r="B467" s="501" t="s">
        <v>1879</v>
      </c>
      <c r="C467" s="368" t="str">
        <f>ORCAMENTO!D355</f>
        <v>Chapisco de aderência em paredes internas, externas, vigas, platibanda e calhas</v>
      </c>
      <c r="D467" s="289" t="str">
        <f>'[5]PLANILHA ORÇAMENTÁRIA'!F105</f>
        <v>M2</v>
      </c>
      <c r="E467" s="368"/>
      <c r="F467" s="500"/>
      <c r="G467" s="500"/>
      <c r="H467" s="500"/>
      <c r="I467" s="499"/>
      <c r="J467" s="498">
        <f>SUM(J468:J469)</f>
        <v>1089.7747999999997</v>
      </c>
    </row>
    <row r="468" spans="2:10" s="470" customFormat="1" ht="15">
      <c r="B468" s="497"/>
      <c r="C468" s="278" t="s">
        <v>1878</v>
      </c>
      <c r="D468" s="172"/>
      <c r="E468" s="278"/>
      <c r="F468" s="496"/>
      <c r="G468" s="496"/>
      <c r="H468" s="496"/>
      <c r="I468" s="495"/>
      <c r="J468" s="494">
        <f>J55</f>
        <v>902.23999999999955</v>
      </c>
    </row>
    <row r="469" spans="2:10" s="470" customFormat="1" ht="15">
      <c r="B469" s="497"/>
      <c r="C469" s="278" t="s">
        <v>1877</v>
      </c>
      <c r="D469" s="172"/>
      <c r="E469" s="278"/>
      <c r="F469" s="496"/>
      <c r="G469" s="496"/>
      <c r="H469" s="496"/>
      <c r="I469" s="495"/>
      <c r="J469" s="494">
        <f>2*J423</f>
        <v>187.53480000000002</v>
      </c>
    </row>
    <row r="470" spans="2:10" s="470" customFormat="1" ht="15">
      <c r="B470" s="497"/>
      <c r="C470" s="278"/>
      <c r="D470" s="172"/>
      <c r="E470" s="278"/>
      <c r="F470" s="496"/>
      <c r="G470" s="496"/>
      <c r="H470" s="496"/>
      <c r="I470" s="495"/>
      <c r="J470" s="494"/>
    </row>
    <row r="471" spans="2:10" ht="15">
      <c r="B471" s="459"/>
      <c r="C471" s="278"/>
      <c r="D471" s="172"/>
      <c r="E471" s="278"/>
      <c r="F471" s="468"/>
      <c r="G471" s="468"/>
      <c r="H471" s="468"/>
      <c r="I471" s="487"/>
      <c r="J471" s="465"/>
    </row>
    <row r="472" spans="2:10" s="460" customFormat="1" ht="51">
      <c r="B472" s="464" t="s">
        <v>606</v>
      </c>
      <c r="C472" s="368" t="str">
        <f>ORCAMENTO!D356</f>
        <v>MASSA ÚNICA, PARA RECEBIMENTO DE PINTURA, EM ARGAMASSA TRAÇO 1:2:8, PREPARO MECÂNICO COM BETONEIRA 400L, APLICADA MANUALMENTE EM FACES INTERNAS DE PAREDES, ESPESSURA DE 20MM, COM EXECUÇÃO DE TALISCAS. AF_06/2014</v>
      </c>
      <c r="D472" s="289" t="str">
        <f>'[5]PLANILHA ORÇAMENTÁRIA'!F106</f>
        <v>M2</v>
      </c>
      <c r="E472" s="368"/>
      <c r="F472" s="484"/>
      <c r="G472" s="484"/>
      <c r="H472" s="484"/>
      <c r="I472" s="483" t="s">
        <v>1876</v>
      </c>
      <c r="J472" s="482">
        <f>J467</f>
        <v>1089.7747999999997</v>
      </c>
    </row>
    <row r="473" spans="2:10" ht="15">
      <c r="B473" s="459"/>
      <c r="C473" s="278"/>
      <c r="D473" s="172"/>
      <c r="E473" s="278"/>
      <c r="F473" s="468"/>
      <c r="G473" s="468"/>
      <c r="H473" s="468"/>
      <c r="I473" s="466"/>
      <c r="J473" s="465"/>
    </row>
    <row r="474" spans="2:10" s="460" customFormat="1" ht="25.5">
      <c r="B474" s="464" t="s">
        <v>1875</v>
      </c>
      <c r="C474" s="368" t="str">
        <f>ORCAMENTO!D357</f>
        <v>Revestimento cerâmico de paredes PEI IV- cerâmica 30 x 40 cm - incl. rejunte - conforme projeto - branca</v>
      </c>
      <c r="D474" s="289" t="str">
        <f>'[5]PLANILHA ORÇAMENTÁRIA'!F107</f>
        <v>M2</v>
      </c>
      <c r="E474" s="368"/>
      <c r="F474" s="463"/>
      <c r="G474" s="463"/>
      <c r="H474" s="463"/>
      <c r="I474" s="462"/>
      <c r="J474" s="469">
        <f>SUM(J475:J495)</f>
        <v>321.43</v>
      </c>
    </row>
    <row r="475" spans="2:10" s="460" customFormat="1" ht="30">
      <c r="B475" s="464"/>
      <c r="C475" s="278" t="s">
        <v>1764</v>
      </c>
      <c r="D475" s="172"/>
      <c r="E475" s="278"/>
      <c r="F475" s="476">
        <v>1.32</v>
      </c>
      <c r="G475" s="476">
        <v>1.01</v>
      </c>
      <c r="H475" s="476">
        <v>2.83</v>
      </c>
      <c r="I475" s="481" t="s">
        <v>1874</v>
      </c>
      <c r="J475" s="474">
        <f>ROUND((F475+G475)*2*H475-(1*0.6*2.1)-(1*0.6*0.65),2)</f>
        <v>11.54</v>
      </c>
    </row>
    <row r="476" spans="2:10" s="460" customFormat="1" ht="30">
      <c r="B476" s="464"/>
      <c r="C476" s="278"/>
      <c r="D476" s="172"/>
      <c r="E476" s="278"/>
      <c r="F476" s="476">
        <v>1.32</v>
      </c>
      <c r="G476" s="476">
        <v>0.94</v>
      </c>
      <c r="H476" s="476">
        <v>2.83</v>
      </c>
      <c r="I476" s="481" t="s">
        <v>1874</v>
      </c>
      <c r="J476" s="474">
        <f>ROUND((F476+G476)*2*H476-(1*0.6*2.1)-(1*0.6*0.65),2)</f>
        <v>11.14</v>
      </c>
    </row>
    <row r="477" spans="2:10" s="460" customFormat="1" ht="30">
      <c r="B477" s="464"/>
      <c r="C477" s="278"/>
      <c r="D477" s="172"/>
      <c r="E477" s="278"/>
      <c r="F477" s="476">
        <v>2.13</v>
      </c>
      <c r="G477" s="476">
        <v>1.02</v>
      </c>
      <c r="H477" s="476">
        <v>2.83</v>
      </c>
      <c r="I477" s="481" t="s">
        <v>1851</v>
      </c>
      <c r="J477" s="474">
        <f>ROUND((F477+G477)*2*H477-(2*0.6*2.1)-(1*0.7*2.1),2)</f>
        <v>13.84</v>
      </c>
    </row>
    <row r="478" spans="2:10" s="460" customFormat="1" ht="30">
      <c r="B478" s="464"/>
      <c r="C478" s="278" t="s">
        <v>1738</v>
      </c>
      <c r="D478" s="172"/>
      <c r="E478" s="278"/>
      <c r="F478" s="476">
        <v>1.32</v>
      </c>
      <c r="G478" s="476">
        <v>1.01</v>
      </c>
      <c r="H478" s="476">
        <v>2.83</v>
      </c>
      <c r="I478" s="481" t="s">
        <v>1874</v>
      </c>
      <c r="J478" s="474">
        <f>ROUND((F478+G478)*2*H478-(1*0.6*2.1)-(1*0.6*0.65),2)</f>
        <v>11.54</v>
      </c>
    </row>
    <row r="479" spans="2:10" s="460" customFormat="1" ht="30">
      <c r="B479" s="464"/>
      <c r="C479" s="278"/>
      <c r="D479" s="172"/>
      <c r="E479" s="278"/>
      <c r="F479" s="476">
        <v>1.32</v>
      </c>
      <c r="G479" s="476">
        <v>0.94</v>
      </c>
      <c r="H479" s="476">
        <v>2.83</v>
      </c>
      <c r="I479" s="481" t="s">
        <v>1874</v>
      </c>
      <c r="J479" s="474">
        <f>ROUND((F479+G479)*2*H479-(1*0.6*2.1)-(1*0.6*0.65),2)</f>
        <v>11.14</v>
      </c>
    </row>
    <row r="480" spans="2:10" s="460" customFormat="1" ht="30">
      <c r="B480" s="464"/>
      <c r="C480" s="278"/>
      <c r="D480" s="172"/>
      <c r="E480" s="278"/>
      <c r="F480" s="476">
        <f>2.07+1.2</f>
        <v>3.2699999999999996</v>
      </c>
      <c r="G480" s="476">
        <v>2.37</v>
      </c>
      <c r="H480" s="476">
        <v>2.83</v>
      </c>
      <c r="I480" s="481" t="s">
        <v>1851</v>
      </c>
      <c r="J480" s="474">
        <f>ROUND((F480+G480)*2*H480-(2*0.6*2.1)-(1*0.7*2.1),2)</f>
        <v>27.93</v>
      </c>
    </row>
    <row r="481" spans="2:10" s="460" customFormat="1" ht="30">
      <c r="B481" s="464"/>
      <c r="C481" s="278" t="s">
        <v>1737</v>
      </c>
      <c r="D481" s="172"/>
      <c r="E481" s="278"/>
      <c r="F481" s="476">
        <v>1.1499999999999999</v>
      </c>
      <c r="G481" s="476">
        <v>0.89</v>
      </c>
      <c r="H481" s="476">
        <v>2.83</v>
      </c>
      <c r="I481" s="481" t="s">
        <v>1874</v>
      </c>
      <c r="J481" s="474">
        <f>ROUND((F481+G481)*2*H481-(1*0.6*2.1)-(1*0.6*0.65),2)</f>
        <v>9.9</v>
      </c>
    </row>
    <row r="482" spans="2:10" s="460" customFormat="1" ht="30">
      <c r="B482" s="464"/>
      <c r="C482" s="278"/>
      <c r="D482" s="172"/>
      <c r="E482" s="278"/>
      <c r="F482" s="476">
        <v>1.1499999999999999</v>
      </c>
      <c r="G482" s="476">
        <v>0.89</v>
      </c>
      <c r="H482" s="476">
        <v>2.83</v>
      </c>
      <c r="I482" s="481" t="s">
        <v>1874</v>
      </c>
      <c r="J482" s="474">
        <f>ROUND((F482+G482)*2*H482-(1*0.6*2.1)-(1*0.6*0.65),2)</f>
        <v>9.9</v>
      </c>
    </row>
    <row r="483" spans="2:10" s="460" customFormat="1" ht="30">
      <c r="B483" s="464"/>
      <c r="C483" s="278"/>
      <c r="D483" s="172"/>
      <c r="E483" s="278"/>
      <c r="F483" s="476">
        <v>3.05</v>
      </c>
      <c r="G483" s="476">
        <v>1.93</v>
      </c>
      <c r="H483" s="476">
        <v>2.83</v>
      </c>
      <c r="I483" s="481" t="s">
        <v>1851</v>
      </c>
      <c r="J483" s="474">
        <f>ROUND((F483+G483)*2*H483-(2*0.6*2.1)-(1*0.7*2.1),2)</f>
        <v>24.2</v>
      </c>
    </row>
    <row r="484" spans="2:10" s="460" customFormat="1" ht="15">
      <c r="B484" s="464"/>
      <c r="C484" s="278"/>
      <c r="D484" s="172"/>
      <c r="E484" s="278"/>
      <c r="F484" s="476">
        <f>0.9+0.15+0.9</f>
        <v>1.9500000000000002</v>
      </c>
      <c r="G484" s="476"/>
      <c r="H484" s="476">
        <v>1.2</v>
      </c>
      <c r="I484" s="481"/>
      <c r="J484" s="474">
        <f>ROUND(F484*H484,2)</f>
        <v>2.34</v>
      </c>
    </row>
    <row r="485" spans="2:10" s="460" customFormat="1" ht="30">
      <c r="B485" s="464"/>
      <c r="C485" s="278" t="s">
        <v>1763</v>
      </c>
      <c r="D485" s="172"/>
      <c r="E485" s="278"/>
      <c r="F485" s="476">
        <v>1.1499999999999999</v>
      </c>
      <c r="G485" s="476">
        <v>0.96</v>
      </c>
      <c r="H485" s="476">
        <v>2.83</v>
      </c>
      <c r="I485" s="481" t="s">
        <v>1874</v>
      </c>
      <c r="J485" s="474">
        <f>ROUND((F485+G485)*2*H485-(1*0.6*2.1)-(1*0.6*0.65),2)</f>
        <v>10.29</v>
      </c>
    </row>
    <row r="486" spans="2:10" s="460" customFormat="1" ht="30">
      <c r="B486" s="464"/>
      <c r="C486" s="278"/>
      <c r="D486" s="172"/>
      <c r="E486" s="278"/>
      <c r="F486" s="476">
        <v>1.1499999999999999</v>
      </c>
      <c r="G486" s="476">
        <v>0.96</v>
      </c>
      <c r="H486" s="476">
        <v>2.83</v>
      </c>
      <c r="I486" s="481" t="s">
        <v>1874</v>
      </c>
      <c r="J486" s="474">
        <f>ROUND((F486+G486)*2*H486-(1*0.6*2.1)-(1*0.6*0.65),2)</f>
        <v>10.29</v>
      </c>
    </row>
    <row r="487" spans="2:10" s="460" customFormat="1" ht="30">
      <c r="B487" s="464"/>
      <c r="C487" s="278"/>
      <c r="D487" s="172"/>
      <c r="E487" s="278"/>
      <c r="F487" s="476">
        <v>3.05</v>
      </c>
      <c r="G487" s="476">
        <v>2.06</v>
      </c>
      <c r="H487" s="476">
        <v>2.83</v>
      </c>
      <c r="I487" s="481" t="s">
        <v>1851</v>
      </c>
      <c r="J487" s="474">
        <f>ROUND((F487+G487)*2*H487-(2*0.6*2.1)-(1*0.7*2.1),2)</f>
        <v>24.93</v>
      </c>
    </row>
    <row r="488" spans="2:10" s="460" customFormat="1" ht="15">
      <c r="B488" s="464"/>
      <c r="C488" s="278"/>
      <c r="D488" s="172"/>
      <c r="E488" s="278"/>
      <c r="F488" s="476">
        <f>0.9+0.15+0.9</f>
        <v>1.9500000000000002</v>
      </c>
      <c r="G488" s="476"/>
      <c r="H488" s="476">
        <v>1.2</v>
      </c>
      <c r="I488" s="481"/>
      <c r="J488" s="474">
        <f>ROUND(F488*H488,2)</f>
        <v>2.34</v>
      </c>
    </row>
    <row r="489" spans="2:10" s="460" customFormat="1" ht="30">
      <c r="B489" s="464"/>
      <c r="C489" s="278" t="s">
        <v>1739</v>
      </c>
      <c r="D489" s="172"/>
      <c r="E489" s="278"/>
      <c r="F489" s="476">
        <v>4.3499999999999996</v>
      </c>
      <c r="G489" s="476">
        <v>2.66</v>
      </c>
      <c r="H489" s="476">
        <v>2.83</v>
      </c>
      <c r="I489" s="481" t="s">
        <v>1850</v>
      </c>
      <c r="J489" s="474">
        <f>ROUND((F489+G489)*2*H489-(1*0.9*2.1)-(2*0.6*0.65),2)</f>
        <v>37.01</v>
      </c>
    </row>
    <row r="490" spans="2:10" s="460" customFormat="1" ht="30">
      <c r="B490" s="464"/>
      <c r="C490" s="278" t="s">
        <v>1728</v>
      </c>
      <c r="D490" s="172"/>
      <c r="E490" s="278"/>
      <c r="F490" s="476">
        <v>3.27</v>
      </c>
      <c r="G490" s="476">
        <v>2.2999999999999998</v>
      </c>
      <c r="H490" s="476">
        <v>2.83</v>
      </c>
      <c r="I490" s="481" t="s">
        <v>1850</v>
      </c>
      <c r="J490" s="474">
        <f>ROUND((F490+G490)*2*H490-(1*0.9*2.1)-(2*0.6*0.65),2)</f>
        <v>28.86</v>
      </c>
    </row>
    <row r="491" spans="2:10" s="470" customFormat="1" ht="30">
      <c r="B491" s="459"/>
      <c r="C491" s="278" t="s">
        <v>1849</v>
      </c>
      <c r="D491" s="172"/>
      <c r="E491" s="278"/>
      <c r="F491" s="473">
        <v>1.85</v>
      </c>
      <c r="G491" s="473">
        <v>1.0900000000000001</v>
      </c>
      <c r="H491" s="473">
        <v>2.83</v>
      </c>
      <c r="I491" s="481" t="s">
        <v>1873</v>
      </c>
      <c r="J491" s="474">
        <f>ROUND((F491+G491)*2*H491-(1*0.6*2.1)-(2*0.9*0.6),2)</f>
        <v>14.3</v>
      </c>
    </row>
    <row r="492" spans="2:10" s="460" customFormat="1" ht="30">
      <c r="B492" s="464"/>
      <c r="C492" s="278" t="s">
        <v>1848</v>
      </c>
      <c r="D492" s="172"/>
      <c r="E492" s="278"/>
      <c r="F492" s="473">
        <v>1.85</v>
      </c>
      <c r="G492" s="473">
        <v>1.0900000000000001</v>
      </c>
      <c r="H492" s="473">
        <v>2.83</v>
      </c>
      <c r="I492" s="481" t="s">
        <v>1873</v>
      </c>
      <c r="J492" s="474">
        <f>ROUND((F492+G492)*2*H492-(1*0.6*2.1)-(2*0.9*0.6),2)</f>
        <v>14.3</v>
      </c>
    </row>
    <row r="493" spans="2:10" s="460" customFormat="1" ht="15">
      <c r="B493" s="464"/>
      <c r="C493" s="278" t="s">
        <v>1767</v>
      </c>
      <c r="D493" s="172"/>
      <c r="E493" s="278"/>
      <c r="F493" s="476">
        <v>1.72</v>
      </c>
      <c r="G493" s="476">
        <v>1.39</v>
      </c>
      <c r="H493" s="476">
        <v>2.83</v>
      </c>
      <c r="I493" s="481" t="s">
        <v>1847</v>
      </c>
      <c r="J493" s="474">
        <f>ROUND((F493+G493)*2*H493-(1*0.6*2.1),2)</f>
        <v>16.34</v>
      </c>
    </row>
    <row r="494" spans="2:10" s="460" customFormat="1" ht="15">
      <c r="B494" s="464"/>
      <c r="C494" s="278" t="s">
        <v>1766</v>
      </c>
      <c r="D494" s="172"/>
      <c r="E494" s="278"/>
      <c r="F494" s="476">
        <v>1.1499999999999999</v>
      </c>
      <c r="G494" s="476">
        <v>1.59</v>
      </c>
      <c r="H494" s="476">
        <v>2.83</v>
      </c>
      <c r="I494" s="481" t="s">
        <v>1847</v>
      </c>
      <c r="J494" s="474">
        <f>ROUND((F494+G494)*2*H494-(1*0.6*2.1),2)</f>
        <v>14.25</v>
      </c>
    </row>
    <row r="495" spans="2:10" s="460" customFormat="1" ht="30">
      <c r="B495" s="464"/>
      <c r="C495" s="278" t="s">
        <v>1765</v>
      </c>
      <c r="D495" s="172"/>
      <c r="E495" s="278"/>
      <c r="F495" s="476">
        <v>1.55</v>
      </c>
      <c r="G495" s="476">
        <v>1.47</v>
      </c>
      <c r="H495" s="476">
        <v>2.83</v>
      </c>
      <c r="I495" s="481" t="s">
        <v>1873</v>
      </c>
      <c r="J495" s="474">
        <f>ROUND((F495+G495)*2*H495-(1*0.6*2.1)-(2*0.6*0.65),2)</f>
        <v>15.05</v>
      </c>
    </row>
    <row r="496" spans="2:10" s="460" customFormat="1" ht="15">
      <c r="B496" s="464"/>
      <c r="C496" s="278"/>
      <c r="D496" s="172"/>
      <c r="E496" s="278"/>
      <c r="F496" s="473"/>
      <c r="G496" s="473"/>
      <c r="H496" s="473"/>
      <c r="I496" s="481"/>
      <c r="J496" s="474"/>
    </row>
    <row r="497" spans="2:10" ht="15">
      <c r="B497" s="434">
        <v>7</v>
      </c>
      <c r="C497" s="123" t="s">
        <v>686</v>
      </c>
      <c r="D497" s="123"/>
      <c r="E497" s="123"/>
      <c r="F497" s="485"/>
      <c r="G497" s="485"/>
      <c r="H497" s="485"/>
      <c r="I497" s="432"/>
      <c r="J497" s="431"/>
    </row>
    <row r="498" spans="2:10" s="460" customFormat="1" ht="15">
      <c r="B498" s="434" t="s">
        <v>620</v>
      </c>
      <c r="C498" s="123" t="str">
        <f>'[5]PLANILHA ORÇAMENTÁRIA'!E113</f>
        <v>PAVIMENTAÇÃO INTERNA</v>
      </c>
      <c r="D498" s="123"/>
      <c r="E498" s="123"/>
      <c r="F498" s="493"/>
      <c r="G498" s="493"/>
      <c r="H498" s="493"/>
      <c r="I498" s="492"/>
      <c r="J498" s="491"/>
    </row>
    <row r="499" spans="2:10" ht="15">
      <c r="B499" s="437"/>
      <c r="C499" s="278"/>
      <c r="D499" s="172"/>
      <c r="E499" s="278"/>
      <c r="F499" s="468"/>
      <c r="G499" s="468"/>
      <c r="H499" s="468"/>
      <c r="I499" s="466"/>
      <c r="J499" s="465"/>
    </row>
    <row r="500" spans="2:10" s="460" customFormat="1" ht="25.5">
      <c r="B500" s="434" t="s">
        <v>622</v>
      </c>
      <c r="C500" s="368" t="str">
        <f>ORCAMENTO!D360</f>
        <v xml:space="preserve">BASE OU CAMADA REGULARIZADORA,EXECUTADA COM ARGAMASSA DE CIMENTO A AREIA,NO TRACO 1:4,NA ESPESSURA DE 2CM </v>
      </c>
      <c r="D500" s="289" t="str">
        <f>'[5]PLANILHA ORÇAMENTÁRIA'!F115</f>
        <v>m²</v>
      </c>
      <c r="E500" s="368"/>
      <c r="F500" s="484"/>
      <c r="G500" s="484"/>
      <c r="H500" s="484"/>
      <c r="I500" s="483"/>
      <c r="J500" s="482">
        <f>J501</f>
        <v>778.62469999999996</v>
      </c>
    </row>
    <row r="501" spans="2:10" ht="15">
      <c r="B501" s="437"/>
      <c r="C501" s="278" t="s">
        <v>1872</v>
      </c>
      <c r="D501" s="172"/>
      <c r="E501" s="278"/>
      <c r="F501" s="468"/>
      <c r="G501" s="468"/>
      <c r="H501" s="468"/>
      <c r="I501" s="466"/>
      <c r="J501" s="465">
        <f>J161</f>
        <v>778.62469999999996</v>
      </c>
    </row>
    <row r="502" spans="2:10" ht="15">
      <c r="B502" s="437"/>
      <c r="C502" s="278"/>
      <c r="D502" s="172"/>
      <c r="E502" s="278"/>
      <c r="F502" s="468"/>
      <c r="G502" s="468"/>
      <c r="H502" s="468"/>
      <c r="I502" s="466"/>
      <c r="J502" s="465"/>
    </row>
    <row r="503" spans="2:10" s="460" customFormat="1" ht="25.5">
      <c r="B503" s="434" t="s">
        <v>1675</v>
      </c>
      <c r="C503" s="368" t="str">
        <f>ORCAMENTO!D361</f>
        <v>Piso cimentado desempenado com acabamento liso e=3,0cm com junta plastica acabada 1,2m</v>
      </c>
      <c r="D503" s="289" t="str">
        <f>'[5]PLANILHA ORÇAMENTÁRIA'!F116</f>
        <v>M2</v>
      </c>
      <c r="E503" s="368"/>
      <c r="F503" s="463"/>
      <c r="G503" s="463"/>
      <c r="H503" s="463"/>
      <c r="I503" s="462"/>
      <c r="J503" s="490">
        <f>SUM(J504:J505)</f>
        <v>80.039999999999992</v>
      </c>
    </row>
    <row r="504" spans="2:10" ht="15">
      <c r="B504" s="437"/>
      <c r="C504" s="278" t="s">
        <v>1871</v>
      </c>
      <c r="D504" s="172"/>
      <c r="E504" s="278"/>
      <c r="F504" s="457">
        <v>2.2999999999999998</v>
      </c>
      <c r="G504" s="457">
        <v>7</v>
      </c>
      <c r="H504" s="489"/>
      <c r="I504" s="456"/>
      <c r="J504" s="455">
        <f>ROUND(F504*G504,2)</f>
        <v>16.100000000000001</v>
      </c>
    </row>
    <row r="505" spans="2:10" ht="15">
      <c r="B505" s="437"/>
      <c r="C505" s="278"/>
      <c r="D505" s="172"/>
      <c r="E505" s="278"/>
      <c r="F505" s="457">
        <v>213.13</v>
      </c>
      <c r="G505" s="457">
        <v>0.3</v>
      </c>
      <c r="H505" s="489"/>
      <c r="I505" s="456"/>
      <c r="J505" s="455">
        <f>ROUND(F505*G505,2)</f>
        <v>63.94</v>
      </c>
    </row>
    <row r="506" spans="2:10" ht="15">
      <c r="B506" s="437"/>
      <c r="C506" s="278"/>
      <c r="D506" s="172"/>
      <c r="E506" s="278"/>
      <c r="F506" s="489"/>
      <c r="G506" s="489"/>
      <c r="H506" s="489"/>
      <c r="I506" s="456"/>
      <c r="J506" s="455"/>
    </row>
    <row r="507" spans="2:10" s="460" customFormat="1" ht="25.5">
      <c r="B507" s="434" t="s">
        <v>1672</v>
      </c>
      <c r="C507" s="368" t="str">
        <f>ORCAMENTO!D362</f>
        <v>Piso cerâmico antiderrapante PEI V - 40 x 40 cm - incl. rejunte - conforme projeto</v>
      </c>
      <c r="D507" s="289" t="str">
        <f>'[5]PLANILHA ORÇAMENTÁRIA'!F117</f>
        <v>M2</v>
      </c>
      <c r="E507" s="368"/>
      <c r="F507" s="484"/>
      <c r="G507" s="484"/>
      <c r="H507" s="484"/>
      <c r="I507" s="483"/>
      <c r="J507" s="482">
        <f>SUM(J508:J527)</f>
        <v>60.148299999999999</v>
      </c>
    </row>
    <row r="508" spans="2:10" s="470" customFormat="1" ht="15">
      <c r="B508" s="437"/>
      <c r="C508" s="278" t="s">
        <v>1769</v>
      </c>
      <c r="D508" s="172"/>
      <c r="E508" s="278"/>
      <c r="F508" s="476">
        <v>1.0900000000000001</v>
      </c>
      <c r="G508" s="476">
        <v>1.85</v>
      </c>
      <c r="H508" s="476"/>
      <c r="I508" s="475"/>
      <c r="J508" s="474">
        <f t="shared" ref="J508:J527" si="10">F508*G508</f>
        <v>2.0165000000000002</v>
      </c>
    </row>
    <row r="509" spans="2:10" s="470" customFormat="1" ht="15">
      <c r="B509" s="437"/>
      <c r="C509" s="278" t="s">
        <v>1768</v>
      </c>
      <c r="D509" s="172"/>
      <c r="E509" s="278"/>
      <c r="F509" s="476">
        <v>1.0900000000000001</v>
      </c>
      <c r="G509" s="476">
        <v>1.85</v>
      </c>
      <c r="H509" s="476"/>
      <c r="I509" s="475"/>
      <c r="J509" s="474">
        <f t="shared" si="10"/>
        <v>2.0165000000000002</v>
      </c>
    </row>
    <row r="510" spans="2:10" s="470" customFormat="1" ht="15">
      <c r="B510" s="437"/>
      <c r="C510" s="278" t="s">
        <v>1767</v>
      </c>
      <c r="D510" s="172"/>
      <c r="E510" s="278"/>
      <c r="F510" s="476">
        <v>1.72</v>
      </c>
      <c r="G510" s="476">
        <v>1.39</v>
      </c>
      <c r="H510" s="476"/>
      <c r="I510" s="475"/>
      <c r="J510" s="474">
        <f t="shared" si="10"/>
        <v>2.3907999999999996</v>
      </c>
    </row>
    <row r="511" spans="2:10" s="470" customFormat="1" ht="15">
      <c r="B511" s="437"/>
      <c r="C511" s="278" t="s">
        <v>1766</v>
      </c>
      <c r="D511" s="172"/>
      <c r="E511" s="278"/>
      <c r="F511" s="476">
        <v>1.1499999999999999</v>
      </c>
      <c r="G511" s="476">
        <v>1.59</v>
      </c>
      <c r="H511" s="476"/>
      <c r="I511" s="475"/>
      <c r="J511" s="474">
        <f t="shared" si="10"/>
        <v>1.8285</v>
      </c>
    </row>
    <row r="512" spans="2:10" s="470" customFormat="1" ht="15">
      <c r="B512" s="437"/>
      <c r="C512" s="278" t="s">
        <v>1765</v>
      </c>
      <c r="D512" s="172"/>
      <c r="E512" s="278"/>
      <c r="F512" s="476">
        <v>1.55</v>
      </c>
      <c r="G512" s="476">
        <v>1.47</v>
      </c>
      <c r="H512" s="476"/>
      <c r="I512" s="475"/>
      <c r="J512" s="474">
        <f t="shared" si="10"/>
        <v>2.2785000000000002</v>
      </c>
    </row>
    <row r="513" spans="2:10" s="470" customFormat="1" ht="15">
      <c r="B513" s="437"/>
      <c r="C513" s="278" t="s">
        <v>1764</v>
      </c>
      <c r="D513" s="172"/>
      <c r="E513" s="278"/>
      <c r="F513" s="476">
        <v>1.01</v>
      </c>
      <c r="G513" s="476">
        <v>1.32</v>
      </c>
      <c r="H513" s="476"/>
      <c r="I513" s="475"/>
      <c r="J513" s="474">
        <f t="shared" si="10"/>
        <v>1.3332000000000002</v>
      </c>
    </row>
    <row r="514" spans="2:10" s="470" customFormat="1" ht="15">
      <c r="B514" s="437"/>
      <c r="C514" s="278"/>
      <c r="D514" s="172"/>
      <c r="E514" s="278"/>
      <c r="F514" s="476">
        <v>0.94</v>
      </c>
      <c r="G514" s="476">
        <v>1.32</v>
      </c>
      <c r="H514" s="476"/>
      <c r="I514" s="475"/>
      <c r="J514" s="474">
        <f t="shared" si="10"/>
        <v>1.2407999999999999</v>
      </c>
    </row>
    <row r="515" spans="2:10" s="470" customFormat="1" ht="15">
      <c r="B515" s="437"/>
      <c r="C515" s="278"/>
      <c r="D515" s="172"/>
      <c r="E515" s="278"/>
      <c r="F515" s="476">
        <v>2.13</v>
      </c>
      <c r="G515" s="476">
        <v>1.02</v>
      </c>
      <c r="H515" s="476"/>
      <c r="I515" s="475"/>
      <c r="J515" s="474">
        <f t="shared" si="10"/>
        <v>2.1726000000000001</v>
      </c>
    </row>
    <row r="516" spans="2:10" s="470" customFormat="1" ht="15">
      <c r="B516" s="437"/>
      <c r="C516" s="278" t="s">
        <v>1738</v>
      </c>
      <c r="D516" s="172"/>
      <c r="E516" s="278"/>
      <c r="F516" s="476">
        <v>0.94</v>
      </c>
      <c r="G516" s="476">
        <v>1.32</v>
      </c>
      <c r="H516" s="476"/>
      <c r="I516" s="475"/>
      <c r="J516" s="474">
        <f t="shared" si="10"/>
        <v>1.2407999999999999</v>
      </c>
    </row>
    <row r="517" spans="2:10" s="470" customFormat="1" ht="15">
      <c r="B517" s="437"/>
      <c r="C517" s="278"/>
      <c r="D517" s="172"/>
      <c r="E517" s="278"/>
      <c r="F517" s="476">
        <v>1.01</v>
      </c>
      <c r="G517" s="476">
        <v>1.32</v>
      </c>
      <c r="H517" s="476"/>
      <c r="I517" s="475"/>
      <c r="J517" s="474">
        <f t="shared" si="10"/>
        <v>1.3332000000000002</v>
      </c>
    </row>
    <row r="518" spans="2:10" s="470" customFormat="1" ht="15">
      <c r="B518" s="437"/>
      <c r="C518" s="278"/>
      <c r="D518" s="172"/>
      <c r="E518" s="278"/>
      <c r="F518" s="476">
        <v>2.37</v>
      </c>
      <c r="G518" s="476">
        <v>2.0699999999999998</v>
      </c>
      <c r="H518" s="476"/>
      <c r="I518" s="475"/>
      <c r="J518" s="474">
        <f t="shared" si="10"/>
        <v>4.9058999999999999</v>
      </c>
    </row>
    <row r="519" spans="2:10" s="470" customFormat="1" ht="15">
      <c r="B519" s="437"/>
      <c r="C519" s="278"/>
      <c r="D519" s="172"/>
      <c r="E519" s="278"/>
      <c r="F519" s="476">
        <v>1.2</v>
      </c>
      <c r="G519" s="476">
        <v>1.2</v>
      </c>
      <c r="H519" s="476"/>
      <c r="I519" s="475"/>
      <c r="J519" s="474">
        <f t="shared" si="10"/>
        <v>1.44</v>
      </c>
    </row>
    <row r="520" spans="2:10" s="470" customFormat="1" ht="15">
      <c r="B520" s="437"/>
      <c r="C520" s="278" t="s">
        <v>1737</v>
      </c>
      <c r="D520" s="172"/>
      <c r="E520" s="278"/>
      <c r="F520" s="476">
        <v>0.89</v>
      </c>
      <c r="G520" s="476">
        <v>1.1499999999999999</v>
      </c>
      <c r="H520" s="476"/>
      <c r="I520" s="475"/>
      <c r="J520" s="474">
        <f t="shared" si="10"/>
        <v>1.0234999999999999</v>
      </c>
    </row>
    <row r="521" spans="2:10" s="470" customFormat="1" ht="15">
      <c r="B521" s="437"/>
      <c r="C521" s="278"/>
      <c r="D521" s="172"/>
      <c r="E521" s="278"/>
      <c r="F521" s="476">
        <v>0.89</v>
      </c>
      <c r="G521" s="476">
        <v>1.1499999999999999</v>
      </c>
      <c r="H521" s="476"/>
      <c r="I521" s="475"/>
      <c r="J521" s="474">
        <f t="shared" si="10"/>
        <v>1.0234999999999999</v>
      </c>
    </row>
    <row r="522" spans="2:10" s="470" customFormat="1" ht="15">
      <c r="B522" s="437"/>
      <c r="C522" s="278"/>
      <c r="D522" s="172"/>
      <c r="E522" s="278"/>
      <c r="F522" s="476">
        <v>3.05</v>
      </c>
      <c r="G522" s="476">
        <v>1.93</v>
      </c>
      <c r="H522" s="476"/>
      <c r="I522" s="475"/>
      <c r="J522" s="474">
        <f t="shared" si="10"/>
        <v>5.8864999999999998</v>
      </c>
    </row>
    <row r="523" spans="2:10" s="470" customFormat="1" ht="15">
      <c r="B523" s="437"/>
      <c r="C523" s="278" t="s">
        <v>1763</v>
      </c>
      <c r="D523" s="172"/>
      <c r="E523" s="278"/>
      <c r="F523" s="476">
        <v>0.95</v>
      </c>
      <c r="G523" s="476">
        <v>1.1499999999999999</v>
      </c>
      <c r="H523" s="476"/>
      <c r="I523" s="475"/>
      <c r="J523" s="474">
        <f t="shared" si="10"/>
        <v>1.0924999999999998</v>
      </c>
    </row>
    <row r="524" spans="2:10" s="470" customFormat="1" ht="15">
      <c r="B524" s="437"/>
      <c r="C524" s="278"/>
      <c r="D524" s="172"/>
      <c r="E524" s="278"/>
      <c r="F524" s="476">
        <v>0.95</v>
      </c>
      <c r="G524" s="476">
        <v>1.1499999999999999</v>
      </c>
      <c r="H524" s="476"/>
      <c r="I524" s="475"/>
      <c r="J524" s="474">
        <f t="shared" si="10"/>
        <v>1.0924999999999998</v>
      </c>
    </row>
    <row r="525" spans="2:10" s="470" customFormat="1" ht="15">
      <c r="B525" s="437"/>
      <c r="C525" s="278"/>
      <c r="D525" s="172"/>
      <c r="E525" s="278"/>
      <c r="F525" s="476">
        <v>3.05</v>
      </c>
      <c r="G525" s="476">
        <v>2.21</v>
      </c>
      <c r="H525" s="476"/>
      <c r="I525" s="475"/>
      <c r="J525" s="474">
        <f t="shared" si="10"/>
        <v>6.7404999999999999</v>
      </c>
    </row>
    <row r="526" spans="2:10" s="470" customFormat="1" ht="15">
      <c r="B526" s="437"/>
      <c r="C526" s="278" t="s">
        <v>1739</v>
      </c>
      <c r="D526" s="172"/>
      <c r="E526" s="278"/>
      <c r="F526" s="476">
        <v>2.66</v>
      </c>
      <c r="G526" s="476">
        <v>4.3499999999999996</v>
      </c>
      <c r="H526" s="476"/>
      <c r="I526" s="475"/>
      <c r="J526" s="474">
        <f t="shared" si="10"/>
        <v>11.571</v>
      </c>
    </row>
    <row r="527" spans="2:10" s="470" customFormat="1" ht="15">
      <c r="B527" s="437"/>
      <c r="C527" s="278" t="s">
        <v>1728</v>
      </c>
      <c r="D527" s="172"/>
      <c r="E527" s="278"/>
      <c r="F527" s="476">
        <v>2.2999999999999998</v>
      </c>
      <c r="G527" s="476">
        <v>3.27</v>
      </c>
      <c r="H527" s="476"/>
      <c r="I527" s="475"/>
      <c r="J527" s="474">
        <f t="shared" si="10"/>
        <v>7.520999999999999</v>
      </c>
    </row>
    <row r="528" spans="2:10" ht="15">
      <c r="B528" s="437"/>
      <c r="C528" s="278"/>
      <c r="D528" s="172"/>
      <c r="E528" s="278"/>
      <c r="F528" s="468"/>
      <c r="G528" s="468"/>
      <c r="H528" s="468"/>
      <c r="I528" s="466"/>
      <c r="J528" s="465"/>
    </row>
    <row r="529" spans="2:10" ht="15">
      <c r="B529" s="437"/>
      <c r="C529" s="278"/>
      <c r="D529" s="172"/>
      <c r="E529" s="278"/>
      <c r="F529" s="468"/>
      <c r="G529" s="468"/>
      <c r="H529" s="468"/>
      <c r="I529" s="466"/>
      <c r="J529" s="465"/>
    </row>
    <row r="530" spans="2:10" s="460" customFormat="1" ht="25.5">
      <c r="B530" s="464" t="s">
        <v>1671</v>
      </c>
      <c r="C530" s="368" t="str">
        <f>ORCAMENTO!D363</f>
        <v>PISO VINILICO SEMIFLEXIVEL PADRAO LISO, ESPESSURA 2MM, FIXADO COM COLA</v>
      </c>
      <c r="D530" s="289" t="str">
        <f>'[5]PLANILHA ORÇAMENTÁRIA'!F118</f>
        <v>M2</v>
      </c>
      <c r="E530" s="368"/>
      <c r="F530" s="484"/>
      <c r="G530" s="484"/>
      <c r="H530" s="484"/>
      <c r="I530" s="483"/>
      <c r="J530" s="482">
        <f>J531</f>
        <v>718.47640000000001</v>
      </c>
    </row>
    <row r="531" spans="2:10" s="470" customFormat="1" ht="15">
      <c r="B531" s="459"/>
      <c r="C531" s="488" t="s">
        <v>1870</v>
      </c>
      <c r="D531" s="172"/>
      <c r="E531" s="278"/>
      <c r="F531" s="467"/>
      <c r="G531" s="467"/>
      <c r="H531" s="467"/>
      <c r="I531" s="487"/>
      <c r="J531" s="486">
        <f>J161-J507</f>
        <v>718.47640000000001</v>
      </c>
    </row>
    <row r="532" spans="2:10" ht="15">
      <c r="B532" s="459"/>
      <c r="C532" s="278"/>
      <c r="D532" s="172"/>
      <c r="E532" s="278"/>
      <c r="F532" s="468"/>
      <c r="G532" s="468"/>
      <c r="H532" s="468"/>
      <c r="I532" s="466"/>
      <c r="J532" s="465"/>
    </row>
    <row r="533" spans="2:10" s="460" customFormat="1" ht="51">
      <c r="B533" s="464" t="s">
        <v>1669</v>
      </c>
      <c r="C533" s="368" t="str">
        <f>ORCAMENTO!D364</f>
        <v>RODAPÉ POLIETILENO COM QUINA BOLEADA SEÇÃO 2X7 cm, COR BRANCA, REF. 446 RP/BR, SANTA LUZIA, OU SIMILAR (EQUIVALENTE AO RODAPE BORRACHA LISO, ALTURA = 7CM, ESPESSURA = 2 MM, PARA ARGAMASSA - SINAPI)</v>
      </c>
      <c r="D533" s="289" t="str">
        <f>'[5]PLANILHA ORÇAMENTÁRIA'!F119</f>
        <v>m</v>
      </c>
      <c r="E533" s="368"/>
      <c r="F533" s="484"/>
      <c r="G533" s="484"/>
      <c r="H533" s="484"/>
      <c r="I533" s="483"/>
      <c r="J533" s="482">
        <f>SUM(J534:J603)</f>
        <v>649.91499999999996</v>
      </c>
    </row>
    <row r="534" spans="2:10" s="470" customFormat="1" ht="15">
      <c r="B534" s="459"/>
      <c r="C534" s="278" t="s">
        <v>1801</v>
      </c>
      <c r="D534" s="172"/>
      <c r="E534" s="278"/>
      <c r="F534" s="476">
        <v>3</v>
      </c>
      <c r="G534" s="476">
        <f>2.5+0.15+1.61</f>
        <v>4.26</v>
      </c>
      <c r="H534" s="476"/>
      <c r="I534" s="479" t="s">
        <v>1855</v>
      </c>
      <c r="J534" s="474">
        <f>ROUND(((F534+G534)*2)-(1*0.8),2)</f>
        <v>13.72</v>
      </c>
    </row>
    <row r="535" spans="2:10" s="470" customFormat="1" ht="15">
      <c r="B535" s="459"/>
      <c r="C535" s="278" t="s">
        <v>1750</v>
      </c>
      <c r="D535" s="172"/>
      <c r="E535" s="278"/>
      <c r="F535" s="476">
        <v>1.83</v>
      </c>
      <c r="G535" s="476">
        <v>6.23</v>
      </c>
      <c r="H535" s="476"/>
      <c r="I535" s="479" t="s">
        <v>1855</v>
      </c>
      <c r="J535" s="474">
        <f>ROUND(((F535+G535)*2)-(1*0.8),2)</f>
        <v>15.32</v>
      </c>
    </row>
    <row r="536" spans="2:10" s="470" customFormat="1" ht="15">
      <c r="B536" s="459"/>
      <c r="C536" s="278"/>
      <c r="D536" s="172"/>
      <c r="E536" s="278"/>
      <c r="F536" s="476">
        <v>0.8</v>
      </c>
      <c r="G536" s="476"/>
      <c r="H536" s="476"/>
      <c r="I536" s="479"/>
      <c r="J536" s="474">
        <f>ROUND(((F536+G536)*2),2)</f>
        <v>1.6</v>
      </c>
    </row>
    <row r="537" spans="2:10" s="470" customFormat="1" ht="15">
      <c r="B537" s="459"/>
      <c r="C537" s="278" t="s">
        <v>1749</v>
      </c>
      <c r="D537" s="172"/>
      <c r="E537" s="278"/>
      <c r="F537" s="476">
        <v>2.3199999999999998</v>
      </c>
      <c r="G537" s="476">
        <v>4.49</v>
      </c>
      <c r="H537" s="476"/>
      <c r="I537" s="479" t="s">
        <v>1865</v>
      </c>
      <c r="J537" s="474">
        <f>ROUND(((F537+G537)*2)-(2*0.8),2)</f>
        <v>12.02</v>
      </c>
    </row>
    <row r="538" spans="2:10" s="470" customFormat="1" ht="15">
      <c r="B538" s="459"/>
      <c r="C538" s="278" t="s">
        <v>1800</v>
      </c>
      <c r="D538" s="172"/>
      <c r="E538" s="278"/>
      <c r="F538" s="476">
        <v>1.59</v>
      </c>
      <c r="G538" s="476">
        <v>1.0900000000000001</v>
      </c>
      <c r="H538" s="476"/>
      <c r="I538" s="479" t="s">
        <v>1865</v>
      </c>
      <c r="J538" s="474">
        <f>ROUND(((F538+G538)*2)-(2*0.8),2)</f>
        <v>3.76</v>
      </c>
    </row>
    <row r="539" spans="2:10" s="470" customFormat="1" ht="15">
      <c r="B539" s="459"/>
      <c r="C539" s="278" t="s">
        <v>1799</v>
      </c>
      <c r="D539" s="172"/>
      <c r="E539" s="278"/>
      <c r="F539" s="476">
        <v>3</v>
      </c>
      <c r="G539" s="476">
        <v>1.59</v>
      </c>
      <c r="H539" s="476"/>
      <c r="I539" s="479" t="s">
        <v>1855</v>
      </c>
      <c r="J539" s="474">
        <f>ROUND(((F539+G539)*2)-(1*0.8),2)</f>
        <v>8.3800000000000008</v>
      </c>
    </row>
    <row r="540" spans="2:10" s="470" customFormat="1" ht="15">
      <c r="B540" s="459"/>
      <c r="C540" s="278" t="s">
        <v>1798</v>
      </c>
      <c r="D540" s="172"/>
      <c r="E540" s="278"/>
      <c r="F540" s="476">
        <v>3</v>
      </c>
      <c r="G540" s="476"/>
      <c r="H540" s="476"/>
      <c r="I540" s="481"/>
      <c r="J540" s="474">
        <f>F540</f>
        <v>3</v>
      </c>
    </row>
    <row r="541" spans="2:10" s="470" customFormat="1" ht="15">
      <c r="B541" s="459"/>
      <c r="C541" s="278"/>
      <c r="D541" s="172"/>
      <c r="E541" s="278"/>
      <c r="F541" s="476">
        <v>1.8</v>
      </c>
      <c r="G541" s="476"/>
      <c r="H541" s="476"/>
      <c r="I541" s="479"/>
      <c r="J541" s="474">
        <f>F541</f>
        <v>1.8</v>
      </c>
    </row>
    <row r="542" spans="2:10" s="470" customFormat="1" ht="15">
      <c r="B542" s="459"/>
      <c r="C542" s="278"/>
      <c r="D542" s="172"/>
      <c r="E542" s="278"/>
      <c r="F542" s="476">
        <f>1.54+1</f>
        <v>2.54</v>
      </c>
      <c r="G542" s="476"/>
      <c r="H542" s="476"/>
      <c r="I542" s="479"/>
      <c r="J542" s="474">
        <f>F542</f>
        <v>2.54</v>
      </c>
    </row>
    <row r="543" spans="2:10" s="470" customFormat="1" ht="15">
      <c r="B543" s="459"/>
      <c r="C543" s="278"/>
      <c r="D543" s="172"/>
      <c r="E543" s="278"/>
      <c r="F543" s="476">
        <v>2.0699999999999998</v>
      </c>
      <c r="G543" s="476"/>
      <c r="H543" s="476"/>
      <c r="I543" s="479"/>
      <c r="J543" s="474">
        <f>F543</f>
        <v>2.0699999999999998</v>
      </c>
    </row>
    <row r="544" spans="2:10" s="470" customFormat="1" ht="15">
      <c r="B544" s="459"/>
      <c r="C544" s="278"/>
      <c r="D544" s="172"/>
      <c r="E544" s="278"/>
      <c r="F544" s="476">
        <v>1.87</v>
      </c>
      <c r="G544" s="476"/>
      <c r="H544" s="476"/>
      <c r="I544" s="479" t="s">
        <v>1859</v>
      </c>
      <c r="J544" s="474">
        <f>F544-0.6</f>
        <v>1.27</v>
      </c>
    </row>
    <row r="545" spans="2:10" s="470" customFormat="1" ht="15">
      <c r="B545" s="459"/>
      <c r="C545" s="278"/>
      <c r="D545" s="172"/>
      <c r="E545" s="278"/>
      <c r="F545" s="476">
        <v>2.54</v>
      </c>
      <c r="G545" s="476"/>
      <c r="H545" s="476"/>
      <c r="I545" s="479" t="s">
        <v>1855</v>
      </c>
      <c r="J545" s="474">
        <f>F545-0.8</f>
        <v>1.74</v>
      </c>
    </row>
    <row r="546" spans="2:10" s="470" customFormat="1" ht="15">
      <c r="B546" s="459"/>
      <c r="C546" s="278" t="s">
        <v>1797</v>
      </c>
      <c r="D546" s="172"/>
      <c r="E546" s="278"/>
      <c r="F546" s="476">
        <v>1.8</v>
      </c>
      <c r="G546" s="476">
        <v>3.07</v>
      </c>
      <c r="H546" s="476"/>
      <c r="I546" s="479" t="s">
        <v>1869</v>
      </c>
      <c r="J546" s="474">
        <f>ROUND(((F546+G546)*2)-(1*1),2)</f>
        <v>8.74</v>
      </c>
    </row>
    <row r="547" spans="2:10" s="470" customFormat="1" ht="15">
      <c r="B547" s="459"/>
      <c r="C547" s="278" t="s">
        <v>1796</v>
      </c>
      <c r="D547" s="172"/>
      <c r="E547" s="278"/>
      <c r="F547" s="476">
        <v>1.8</v>
      </c>
      <c r="G547" s="476">
        <v>3.23</v>
      </c>
      <c r="H547" s="476"/>
      <c r="I547" s="479" t="s">
        <v>1868</v>
      </c>
      <c r="J547" s="474">
        <f>ROUND(((F547+G547)*2)-(1*0.8)-(1*1.23),2)</f>
        <v>8.0299999999999994</v>
      </c>
    </row>
    <row r="548" spans="2:10" s="470" customFormat="1" ht="15">
      <c r="B548" s="459"/>
      <c r="C548" s="278" t="s">
        <v>1795</v>
      </c>
      <c r="D548" s="172"/>
      <c r="E548" s="278"/>
      <c r="F548" s="476">
        <v>1.59</v>
      </c>
      <c r="G548" s="476">
        <v>3.93</v>
      </c>
      <c r="H548" s="476"/>
      <c r="I548" s="481" t="s">
        <v>1867</v>
      </c>
      <c r="J548" s="474">
        <f>ROUND(((F548+G548)*2)-(1*0.8)-(1*1.23)-(1*0.6),2)</f>
        <v>8.41</v>
      </c>
    </row>
    <row r="549" spans="2:10" s="470" customFormat="1" ht="15">
      <c r="B549" s="459"/>
      <c r="C549" s="278"/>
      <c r="D549" s="172"/>
      <c r="E549" s="278">
        <v>2</v>
      </c>
      <c r="F549" s="476">
        <v>0.7</v>
      </c>
      <c r="G549" s="476"/>
      <c r="H549" s="476"/>
      <c r="I549" s="475"/>
      <c r="J549" s="474">
        <f>E549*F549</f>
        <v>1.4</v>
      </c>
    </row>
    <row r="550" spans="2:10" s="470" customFormat="1" ht="15">
      <c r="B550" s="459"/>
      <c r="C550" s="278" t="s">
        <v>1741</v>
      </c>
      <c r="D550" s="172"/>
      <c r="E550" s="278"/>
      <c r="F550" s="476">
        <v>2.94</v>
      </c>
      <c r="G550" s="476">
        <v>3.54</v>
      </c>
      <c r="H550" s="476"/>
      <c r="I550" s="479" t="s">
        <v>1865</v>
      </c>
      <c r="J550" s="474">
        <f>ROUND(((F550+G550)*2)-(2*0.8),2)</f>
        <v>11.36</v>
      </c>
    </row>
    <row r="551" spans="2:10" s="470" customFormat="1" ht="15">
      <c r="B551" s="459"/>
      <c r="C551" s="278"/>
      <c r="D551" s="172"/>
      <c r="E551" s="278">
        <v>4</v>
      </c>
      <c r="F551" s="476">
        <v>0.7</v>
      </c>
      <c r="G551" s="476"/>
      <c r="H551" s="476"/>
      <c r="I551" s="479"/>
      <c r="J551" s="474">
        <f>E551*F551</f>
        <v>2.8</v>
      </c>
    </row>
    <row r="552" spans="2:10" s="470" customFormat="1" ht="15">
      <c r="B552" s="459"/>
      <c r="C552" s="278" t="s">
        <v>1740</v>
      </c>
      <c r="D552" s="172"/>
      <c r="E552" s="278"/>
      <c r="F552" s="476">
        <v>3</v>
      </c>
      <c r="G552" s="476">
        <v>3.54</v>
      </c>
      <c r="H552" s="476"/>
      <c r="I552" s="479" t="s">
        <v>1865</v>
      </c>
      <c r="J552" s="474">
        <f>ROUND(((F552+G552)*2)-(2*0.8),2)</f>
        <v>11.48</v>
      </c>
    </row>
    <row r="553" spans="2:10" s="470" customFormat="1" ht="15">
      <c r="B553" s="459"/>
      <c r="C553" s="278"/>
      <c r="D553" s="172"/>
      <c r="E553" s="278">
        <v>4</v>
      </c>
      <c r="F553" s="476">
        <v>0.7</v>
      </c>
      <c r="G553" s="476"/>
      <c r="H553" s="476"/>
      <c r="I553" s="479"/>
      <c r="J553" s="474">
        <f>E553*F553</f>
        <v>2.8</v>
      </c>
    </row>
    <row r="554" spans="2:10" s="470" customFormat="1" ht="15">
      <c r="B554" s="459"/>
      <c r="C554" s="278" t="s">
        <v>1794</v>
      </c>
      <c r="D554" s="172"/>
      <c r="E554" s="278"/>
      <c r="F554" s="476">
        <v>2.94</v>
      </c>
      <c r="G554" s="476">
        <v>3.54</v>
      </c>
      <c r="H554" s="476"/>
      <c r="I554" s="479" t="s">
        <v>1865</v>
      </c>
      <c r="J554" s="474">
        <f>ROUND(((F554+G554)*2)-(2*0.8),2)</f>
        <v>11.36</v>
      </c>
    </row>
    <row r="555" spans="2:10" s="470" customFormat="1" ht="15">
      <c r="B555" s="459"/>
      <c r="C555" s="278"/>
      <c r="D555" s="172"/>
      <c r="E555" s="278">
        <v>4</v>
      </c>
      <c r="F555" s="476">
        <v>0.7</v>
      </c>
      <c r="G555" s="476"/>
      <c r="H555" s="476"/>
      <c r="I555" s="479"/>
      <c r="J555" s="474">
        <f>E555*F555</f>
        <v>2.8</v>
      </c>
    </row>
    <row r="556" spans="2:10" s="470" customFormat="1" ht="15">
      <c r="B556" s="459"/>
      <c r="C556" s="278" t="s">
        <v>1793</v>
      </c>
      <c r="D556" s="172"/>
      <c r="E556" s="278"/>
      <c r="F556" s="476">
        <v>3</v>
      </c>
      <c r="G556" s="476">
        <v>3.54</v>
      </c>
      <c r="H556" s="476"/>
      <c r="I556" s="479" t="s">
        <v>1865</v>
      </c>
      <c r="J556" s="474">
        <f>ROUND(((F556+G556)*2)-(2*0.8),2)</f>
        <v>11.48</v>
      </c>
    </row>
    <row r="557" spans="2:10" s="470" customFormat="1" ht="15">
      <c r="B557" s="459"/>
      <c r="C557" s="278"/>
      <c r="D557" s="172"/>
      <c r="E557" s="278">
        <v>4</v>
      </c>
      <c r="F557" s="476">
        <v>0.7</v>
      </c>
      <c r="G557" s="476"/>
      <c r="H557" s="476"/>
      <c r="I557" s="479"/>
      <c r="J557" s="474">
        <f>E557*F557</f>
        <v>2.8</v>
      </c>
    </row>
    <row r="558" spans="2:10" s="470" customFormat="1" ht="15">
      <c r="B558" s="459"/>
      <c r="C558" s="278" t="s">
        <v>1792</v>
      </c>
      <c r="D558" s="172"/>
      <c r="E558" s="278"/>
      <c r="F558" s="476">
        <v>3</v>
      </c>
      <c r="G558" s="476">
        <v>3.54</v>
      </c>
      <c r="H558" s="476"/>
      <c r="I558" s="479" t="s">
        <v>1865</v>
      </c>
      <c r="J558" s="474">
        <f>ROUND(((F558+G558)*2)-(2*0.8),2)</f>
        <v>11.48</v>
      </c>
    </row>
    <row r="559" spans="2:10" s="470" customFormat="1" ht="15">
      <c r="B559" s="459"/>
      <c r="C559" s="278"/>
      <c r="D559" s="172"/>
      <c r="E559" s="278">
        <v>4</v>
      </c>
      <c r="F559" s="476">
        <v>0.7</v>
      </c>
      <c r="G559" s="476"/>
      <c r="H559" s="476"/>
      <c r="I559" s="479"/>
      <c r="J559" s="474">
        <f>E559*F559</f>
        <v>2.8</v>
      </c>
    </row>
    <row r="560" spans="2:10" s="470" customFormat="1" ht="15">
      <c r="B560" s="459"/>
      <c r="C560" s="278" t="s">
        <v>1791</v>
      </c>
      <c r="D560" s="172"/>
      <c r="E560" s="278"/>
      <c r="F560" s="476">
        <v>30.86</v>
      </c>
      <c r="G560" s="476">
        <v>1</v>
      </c>
      <c r="H560" s="476"/>
      <c r="I560" s="479" t="s">
        <v>1866</v>
      </c>
      <c r="J560" s="474">
        <f>ROUND(((F560+G560)*2)-(15*0.8),2)</f>
        <v>51.72</v>
      </c>
    </row>
    <row r="561" spans="2:10" s="470" customFormat="1" ht="15">
      <c r="B561" s="459"/>
      <c r="C561" s="278" t="s">
        <v>1790</v>
      </c>
      <c r="D561" s="172"/>
      <c r="E561" s="278"/>
      <c r="F561" s="476">
        <v>3.15</v>
      </c>
      <c r="G561" s="476">
        <v>3.46</v>
      </c>
      <c r="H561" s="476"/>
      <c r="I561" s="479" t="s">
        <v>1865</v>
      </c>
      <c r="J561" s="474">
        <f>ROUND(((F561+G561)*2)-(2*0.8),2)</f>
        <v>11.62</v>
      </c>
    </row>
    <row r="562" spans="2:10" s="470" customFormat="1" ht="15">
      <c r="B562" s="459"/>
      <c r="C562" s="278"/>
      <c r="D562" s="172"/>
      <c r="E562" s="278">
        <v>4</v>
      </c>
      <c r="F562" s="476">
        <v>0.89</v>
      </c>
      <c r="G562" s="476"/>
      <c r="H562" s="476"/>
      <c r="I562" s="475"/>
      <c r="J562" s="474">
        <f>E562*F562</f>
        <v>3.56</v>
      </c>
    </row>
    <row r="563" spans="2:10" s="470" customFormat="1" ht="15">
      <c r="B563" s="459"/>
      <c r="C563" s="278" t="s">
        <v>1789</v>
      </c>
      <c r="D563" s="172"/>
      <c r="E563" s="278"/>
      <c r="F563" s="476">
        <v>3</v>
      </c>
      <c r="G563" s="476">
        <v>3.46</v>
      </c>
      <c r="H563" s="476"/>
      <c r="I563" s="479" t="s">
        <v>1865</v>
      </c>
      <c r="J563" s="474">
        <f>ROUND(((F563+G563)*2)-(2*0.8),2)</f>
        <v>11.32</v>
      </c>
    </row>
    <row r="564" spans="2:10" s="470" customFormat="1" ht="15">
      <c r="B564" s="459"/>
      <c r="C564" s="278"/>
      <c r="D564" s="172"/>
      <c r="E564" s="278">
        <v>2</v>
      </c>
      <c r="F564" s="476">
        <v>0.56000000000000005</v>
      </c>
      <c r="G564" s="476"/>
      <c r="H564" s="476"/>
      <c r="I564" s="475"/>
      <c r="J564" s="474">
        <f>E564*F564</f>
        <v>1.1200000000000001</v>
      </c>
    </row>
    <row r="565" spans="2:10" s="470" customFormat="1" ht="15">
      <c r="B565" s="459"/>
      <c r="C565" s="278"/>
      <c r="D565" s="172"/>
      <c r="E565" s="278">
        <v>2</v>
      </c>
      <c r="F565" s="476">
        <v>0.89</v>
      </c>
      <c r="G565" s="476"/>
      <c r="H565" s="476"/>
      <c r="I565" s="475"/>
      <c r="J565" s="474">
        <f>E565*F565</f>
        <v>1.78</v>
      </c>
    </row>
    <row r="566" spans="2:10" s="470" customFormat="1" ht="15">
      <c r="B566" s="459"/>
      <c r="C566" s="278" t="s">
        <v>1788</v>
      </c>
      <c r="D566" s="172"/>
      <c r="E566" s="278"/>
      <c r="F566" s="476">
        <v>3</v>
      </c>
      <c r="G566" s="476">
        <v>3.46</v>
      </c>
      <c r="H566" s="476"/>
      <c r="I566" s="479" t="s">
        <v>1855</v>
      </c>
      <c r="J566" s="474">
        <f>ROUND(((F566+G566)*2)-(1*0.8),2)</f>
        <v>12.12</v>
      </c>
    </row>
    <row r="567" spans="2:10" s="470" customFormat="1" ht="15">
      <c r="B567" s="459"/>
      <c r="C567" s="278"/>
      <c r="D567" s="172"/>
      <c r="E567" s="278">
        <v>2</v>
      </c>
      <c r="F567" s="476">
        <v>0.89</v>
      </c>
      <c r="G567" s="476"/>
      <c r="H567" s="476"/>
      <c r="I567" s="475"/>
      <c r="J567" s="474">
        <f>E567*F567</f>
        <v>1.78</v>
      </c>
    </row>
    <row r="568" spans="2:10" s="470" customFormat="1" ht="15">
      <c r="B568" s="459"/>
      <c r="C568" s="278" t="s">
        <v>1787</v>
      </c>
      <c r="D568" s="172"/>
      <c r="E568" s="278"/>
      <c r="F568" s="476">
        <v>3</v>
      </c>
      <c r="G568" s="476">
        <v>3.46</v>
      </c>
      <c r="H568" s="476"/>
      <c r="I568" s="479" t="s">
        <v>1855</v>
      </c>
      <c r="J568" s="474">
        <f>ROUND(((F568+G568)*2)-(1*0.8),2)</f>
        <v>12.12</v>
      </c>
    </row>
    <row r="569" spans="2:10" s="470" customFormat="1" ht="15">
      <c r="B569" s="459"/>
      <c r="C569" s="278"/>
      <c r="D569" s="172"/>
      <c r="E569" s="278">
        <v>2</v>
      </c>
      <c r="F569" s="476">
        <v>0.89</v>
      </c>
      <c r="G569" s="476"/>
      <c r="H569" s="476"/>
      <c r="I569" s="475"/>
      <c r="J569" s="474">
        <f>E569*F569</f>
        <v>1.78</v>
      </c>
    </row>
    <row r="570" spans="2:10" s="470" customFormat="1" ht="15">
      <c r="B570" s="459"/>
      <c r="C570" s="278" t="s">
        <v>1786</v>
      </c>
      <c r="D570" s="172"/>
      <c r="E570" s="278"/>
      <c r="F570" s="476">
        <v>3</v>
      </c>
      <c r="G570" s="476">
        <v>3.46</v>
      </c>
      <c r="H570" s="476"/>
      <c r="I570" s="479" t="s">
        <v>1865</v>
      </c>
      <c r="J570" s="474">
        <f>ROUND(((F570+G570)*2)-(2*0.8),2)</f>
        <v>11.32</v>
      </c>
    </row>
    <row r="571" spans="2:10" s="470" customFormat="1" ht="15">
      <c r="B571" s="459"/>
      <c r="C571" s="278"/>
      <c r="D571" s="172"/>
      <c r="E571" s="278">
        <v>4</v>
      </c>
      <c r="F571" s="476">
        <v>0.89</v>
      </c>
      <c r="G571" s="476"/>
      <c r="H571" s="476"/>
      <c r="I571" s="475"/>
      <c r="J571" s="474">
        <f>E571*F571</f>
        <v>3.56</v>
      </c>
    </row>
    <row r="572" spans="2:10" s="470" customFormat="1" ht="15">
      <c r="B572" s="459"/>
      <c r="C572" s="278" t="s">
        <v>1785</v>
      </c>
      <c r="D572" s="172"/>
      <c r="E572" s="278"/>
      <c r="F572" s="476">
        <v>3</v>
      </c>
      <c r="G572" s="476">
        <v>3.46</v>
      </c>
      <c r="H572" s="476"/>
      <c r="I572" s="479" t="s">
        <v>1865</v>
      </c>
      <c r="J572" s="474">
        <f>ROUND(((F572+G572)*2)-(2*0.8),2)</f>
        <v>11.32</v>
      </c>
    </row>
    <row r="573" spans="2:10" s="470" customFormat="1" ht="15">
      <c r="B573" s="459"/>
      <c r="C573" s="278"/>
      <c r="D573" s="172"/>
      <c r="E573" s="278">
        <v>2</v>
      </c>
      <c r="F573" s="476">
        <v>0.56000000000000005</v>
      </c>
      <c r="G573" s="476"/>
      <c r="H573" s="476"/>
      <c r="I573" s="475"/>
      <c r="J573" s="474">
        <f>E573*F573</f>
        <v>1.1200000000000001</v>
      </c>
    </row>
    <row r="574" spans="2:10" s="470" customFormat="1" ht="15">
      <c r="B574" s="459"/>
      <c r="C574" s="278"/>
      <c r="D574" s="172"/>
      <c r="E574" s="278">
        <v>2</v>
      </c>
      <c r="F574" s="476">
        <v>0.89</v>
      </c>
      <c r="G574" s="476"/>
      <c r="H574" s="476"/>
      <c r="I574" s="475"/>
      <c r="J574" s="474">
        <f>E574*F574</f>
        <v>1.78</v>
      </c>
    </row>
    <row r="575" spans="2:10" s="470" customFormat="1" ht="15">
      <c r="B575" s="459"/>
      <c r="C575" s="278" t="s">
        <v>1784</v>
      </c>
      <c r="D575" s="172"/>
      <c r="E575" s="278"/>
      <c r="F575" s="476">
        <v>3</v>
      </c>
      <c r="G575" s="476">
        <v>3.46</v>
      </c>
      <c r="H575" s="476"/>
      <c r="I575" s="479" t="s">
        <v>1865</v>
      </c>
      <c r="J575" s="474">
        <f>ROUND(((F575+G575)*2)-(2*0.8),2)</f>
        <v>11.32</v>
      </c>
    </row>
    <row r="576" spans="2:10" s="470" customFormat="1" ht="15">
      <c r="B576" s="459"/>
      <c r="C576" s="278"/>
      <c r="D576" s="172"/>
      <c r="E576" s="278">
        <v>4</v>
      </c>
      <c r="F576" s="476">
        <v>0.89</v>
      </c>
      <c r="G576" s="476"/>
      <c r="H576" s="476"/>
      <c r="I576" s="475"/>
      <c r="J576" s="474">
        <f>E576*F576</f>
        <v>3.56</v>
      </c>
    </row>
    <row r="577" spans="2:10" s="470" customFormat="1" ht="15">
      <c r="B577" s="459"/>
      <c r="C577" s="278" t="s">
        <v>1783</v>
      </c>
      <c r="D577" s="172"/>
      <c r="E577" s="278"/>
      <c r="F577" s="476">
        <v>3.01</v>
      </c>
      <c r="G577" s="476">
        <v>3.46</v>
      </c>
      <c r="H577" s="476"/>
      <c r="I577" s="479" t="s">
        <v>1855</v>
      </c>
      <c r="J577" s="474">
        <f>ROUND(((F577+G577)*2)-(1*0.8),2)</f>
        <v>12.14</v>
      </c>
    </row>
    <row r="578" spans="2:10" s="470" customFormat="1" ht="15">
      <c r="B578" s="459"/>
      <c r="C578" s="278"/>
      <c r="D578" s="172"/>
      <c r="E578" s="278">
        <v>2</v>
      </c>
      <c r="F578" s="476">
        <v>0.56000000000000005</v>
      </c>
      <c r="G578" s="476"/>
      <c r="H578" s="476"/>
      <c r="I578" s="475"/>
      <c r="J578" s="474">
        <f>E578*F578</f>
        <v>1.1200000000000001</v>
      </c>
    </row>
    <row r="579" spans="2:10" s="470" customFormat="1" ht="15">
      <c r="B579" s="459"/>
      <c r="C579" s="278" t="s">
        <v>1782</v>
      </c>
      <c r="D579" s="172"/>
      <c r="E579" s="278"/>
      <c r="F579" s="476">
        <v>28.62</v>
      </c>
      <c r="G579" s="476">
        <v>2.27</v>
      </c>
      <c r="H579" s="476"/>
      <c r="I579" s="479" t="s">
        <v>1864</v>
      </c>
      <c r="J579" s="474">
        <f>ROUND(((F579+G579)*2)-(13*0.8)-(1*2.27),2)</f>
        <v>49.11</v>
      </c>
    </row>
    <row r="580" spans="2:10" s="470" customFormat="1" ht="15">
      <c r="B580" s="459"/>
      <c r="C580" s="278" t="s">
        <v>1781</v>
      </c>
      <c r="D580" s="172"/>
      <c r="E580" s="278"/>
      <c r="F580" s="476">
        <v>5.52</v>
      </c>
      <c r="G580" s="476"/>
      <c r="H580" s="476"/>
      <c r="I580" s="479"/>
      <c r="J580" s="474">
        <f>F580</f>
        <v>5.52</v>
      </c>
    </row>
    <row r="581" spans="2:10" s="470" customFormat="1" ht="15">
      <c r="B581" s="459"/>
      <c r="C581" s="278"/>
      <c r="D581" s="172"/>
      <c r="E581" s="278"/>
      <c r="F581" s="476">
        <v>3.29</v>
      </c>
      <c r="G581" s="476"/>
      <c r="H581" s="476"/>
      <c r="I581" s="475"/>
      <c r="J581" s="474">
        <f>F581</f>
        <v>3.29</v>
      </c>
    </row>
    <row r="582" spans="2:10" s="470" customFormat="1" ht="15">
      <c r="B582" s="459"/>
      <c r="C582" s="278"/>
      <c r="D582" s="172"/>
      <c r="E582" s="278"/>
      <c r="F582" s="476">
        <v>10.85</v>
      </c>
      <c r="G582" s="476"/>
      <c r="H582" s="476"/>
      <c r="I582" s="479" t="s">
        <v>1863</v>
      </c>
      <c r="J582" s="474">
        <f>F582-2*0.8-1*0.7</f>
        <v>8.5500000000000007</v>
      </c>
    </row>
    <row r="583" spans="2:10" s="470" customFormat="1" ht="15">
      <c r="B583" s="459"/>
      <c r="C583" s="278"/>
      <c r="D583" s="172"/>
      <c r="E583" s="278"/>
      <c r="F583" s="476">
        <v>2.11</v>
      </c>
      <c r="G583" s="476"/>
      <c r="H583" s="476"/>
      <c r="I583" s="479" t="s">
        <v>1862</v>
      </c>
      <c r="J583" s="474">
        <f>F583-1.745</f>
        <v>0.36499999999999977</v>
      </c>
    </row>
    <row r="584" spans="2:10" s="470" customFormat="1" ht="15">
      <c r="B584" s="459"/>
      <c r="C584" s="278"/>
      <c r="D584" s="172"/>
      <c r="E584" s="278"/>
      <c r="F584" s="476">
        <v>4.55</v>
      </c>
      <c r="G584" s="476"/>
      <c r="H584" s="476"/>
      <c r="I584" s="475"/>
      <c r="J584" s="474">
        <f>F584</f>
        <v>4.55</v>
      </c>
    </row>
    <row r="585" spans="2:10" s="470" customFormat="1" ht="15">
      <c r="B585" s="459"/>
      <c r="C585" s="278"/>
      <c r="D585" s="172"/>
      <c r="E585" s="278"/>
      <c r="F585" s="476">
        <v>13.53</v>
      </c>
      <c r="G585" s="476"/>
      <c r="H585" s="476"/>
      <c r="I585" s="479" t="s">
        <v>1861</v>
      </c>
      <c r="J585" s="474">
        <f>F585-2*0.7-1*1.74</f>
        <v>10.389999999999999</v>
      </c>
    </row>
    <row r="586" spans="2:10" s="470" customFormat="1" ht="15">
      <c r="B586" s="459"/>
      <c r="C586" s="278"/>
      <c r="D586" s="172"/>
      <c r="E586" s="278"/>
      <c r="F586" s="476">
        <v>8.6</v>
      </c>
      <c r="G586" s="476"/>
      <c r="H586" s="476"/>
      <c r="I586" s="479"/>
      <c r="J586" s="474">
        <f>F586</f>
        <v>8.6</v>
      </c>
    </row>
    <row r="587" spans="2:10" s="470" customFormat="1" ht="15">
      <c r="B587" s="459"/>
      <c r="C587" s="278"/>
      <c r="D587" s="172"/>
      <c r="E587" s="278"/>
      <c r="F587" s="476">
        <v>7</v>
      </c>
      <c r="G587" s="476"/>
      <c r="H587" s="476"/>
      <c r="I587" s="479" t="s">
        <v>1860</v>
      </c>
      <c r="J587" s="474">
        <f>F587-0.9</f>
        <v>6.1</v>
      </c>
    </row>
    <row r="588" spans="2:10" s="470" customFormat="1" ht="15">
      <c r="B588" s="459"/>
      <c r="C588" s="278"/>
      <c r="D588" s="172"/>
      <c r="E588" s="278"/>
      <c r="F588" s="476">
        <v>2.39</v>
      </c>
      <c r="G588" s="476"/>
      <c r="H588" s="476"/>
      <c r="I588" s="479"/>
      <c r="J588" s="474">
        <f>F588</f>
        <v>2.39</v>
      </c>
    </row>
    <row r="589" spans="2:10" s="470" customFormat="1" ht="15">
      <c r="B589" s="459"/>
      <c r="C589" s="278" t="s">
        <v>1832</v>
      </c>
      <c r="D589" s="172"/>
      <c r="E589" s="278"/>
      <c r="F589" s="476">
        <f>1.91+0.1+0.13+0.4+0.35+0.46</f>
        <v>3.3499999999999996</v>
      </c>
      <c r="G589" s="476"/>
      <c r="H589" s="476"/>
      <c r="I589" s="479"/>
      <c r="J589" s="474">
        <f>F589</f>
        <v>3.3499999999999996</v>
      </c>
    </row>
    <row r="590" spans="2:10" s="470" customFormat="1" ht="15">
      <c r="B590" s="459"/>
      <c r="C590" s="278" t="s">
        <v>1780</v>
      </c>
      <c r="D590" s="172"/>
      <c r="E590" s="278"/>
      <c r="F590" s="476">
        <v>2.92</v>
      </c>
      <c r="G590" s="476">
        <v>2.1</v>
      </c>
      <c r="H590" s="476"/>
      <c r="I590" s="479" t="s">
        <v>1855</v>
      </c>
      <c r="J590" s="474">
        <f>ROUND(((F590+G590)*2)-(1*0.8),2)</f>
        <v>9.24</v>
      </c>
    </row>
    <row r="591" spans="2:10" s="470" customFormat="1" ht="15">
      <c r="B591" s="459"/>
      <c r="C591" s="278" t="s">
        <v>1779</v>
      </c>
      <c r="D591" s="172"/>
      <c r="E591" s="278"/>
      <c r="F591" s="476">
        <v>2.92</v>
      </c>
      <c r="G591" s="476">
        <v>2.92</v>
      </c>
      <c r="H591" s="476"/>
      <c r="I591" s="479" t="s">
        <v>1855</v>
      </c>
      <c r="J591" s="474">
        <f>ROUND(((F591+G591)*2)-(1*0.8),2)</f>
        <v>10.88</v>
      </c>
    </row>
    <row r="592" spans="2:10" s="470" customFormat="1" ht="15">
      <c r="B592" s="459"/>
      <c r="C592" s="278" t="s">
        <v>1778</v>
      </c>
      <c r="D592" s="172"/>
      <c r="E592" s="278"/>
      <c r="F592" s="476">
        <v>2.92</v>
      </c>
      <c r="G592" s="476">
        <v>5.38</v>
      </c>
      <c r="H592" s="476"/>
      <c r="I592" s="479" t="s">
        <v>1855</v>
      </c>
      <c r="J592" s="474">
        <f>ROUND(((F592+G592)*2)-(1*0.8),2)</f>
        <v>15.8</v>
      </c>
    </row>
    <row r="593" spans="2:10" s="470" customFormat="1" ht="15">
      <c r="B593" s="459"/>
      <c r="C593" s="278" t="s">
        <v>1777</v>
      </c>
      <c r="D593" s="172"/>
      <c r="E593" s="278"/>
      <c r="F593" s="476">
        <v>3</v>
      </c>
      <c r="G593" s="476">
        <v>5.15</v>
      </c>
      <c r="H593" s="476"/>
      <c r="I593" s="479" t="s">
        <v>1855</v>
      </c>
      <c r="J593" s="474">
        <f>ROUND(((F593+G593)*2)-(1*0.8),2)</f>
        <v>15.5</v>
      </c>
    </row>
    <row r="594" spans="2:10" s="470" customFormat="1" ht="15">
      <c r="B594" s="459"/>
      <c r="C594" s="278" t="s">
        <v>1776</v>
      </c>
      <c r="D594" s="172"/>
      <c r="E594" s="278"/>
      <c r="F594" s="476">
        <v>1.1599999999999999</v>
      </c>
      <c r="G594" s="476">
        <v>1.85</v>
      </c>
      <c r="H594" s="476"/>
      <c r="I594" s="479" t="s">
        <v>1859</v>
      </c>
      <c r="J594" s="474">
        <f>ROUND(((F594+G594)*2)-(1*0.6),2)</f>
        <v>5.42</v>
      </c>
    </row>
    <row r="595" spans="2:10" s="470" customFormat="1" ht="15">
      <c r="B595" s="459"/>
      <c r="C595" s="278" t="s">
        <v>1774</v>
      </c>
      <c r="D595" s="172"/>
      <c r="E595" s="278"/>
      <c r="F595" s="476">
        <v>3</v>
      </c>
      <c r="G595" s="476">
        <v>5.21</v>
      </c>
      <c r="H595" s="476"/>
      <c r="I595" s="479" t="s">
        <v>1858</v>
      </c>
      <c r="J595" s="474">
        <f>ROUND(((F595+G595)*2)-(1*1)-(3*0.8)-(1*0.9),2)</f>
        <v>12.12</v>
      </c>
    </row>
    <row r="596" spans="2:10" s="470" customFormat="1" ht="15">
      <c r="B596" s="459"/>
      <c r="C596" s="278" t="s">
        <v>1829</v>
      </c>
      <c r="D596" s="172"/>
      <c r="E596" s="278"/>
      <c r="F596" s="476">
        <v>3.79</v>
      </c>
      <c r="G596" s="476">
        <v>1</v>
      </c>
      <c r="H596" s="476"/>
      <c r="I596" s="481" t="s">
        <v>1857</v>
      </c>
      <c r="J596" s="474">
        <f>ROUND(((F596+G596)*2)-(3*0.6)-(2*0.8)-(1*1),2)</f>
        <v>5.18</v>
      </c>
    </row>
    <row r="597" spans="2:10" s="470" customFormat="1" ht="15">
      <c r="B597" s="459"/>
      <c r="C597" s="278" t="s">
        <v>1773</v>
      </c>
      <c r="D597" s="172"/>
      <c r="E597" s="278"/>
      <c r="F597" s="476">
        <v>5.15</v>
      </c>
      <c r="G597" s="476">
        <v>5.15</v>
      </c>
      <c r="H597" s="476"/>
      <c r="I597" s="479" t="s">
        <v>1855</v>
      </c>
      <c r="J597" s="474">
        <f>ROUND(((F597+G597)*2)-(1*0.8),2)</f>
        <v>19.8</v>
      </c>
    </row>
    <row r="598" spans="2:10" s="470" customFormat="1" ht="15">
      <c r="B598" s="459"/>
      <c r="C598" s="278" t="s">
        <v>1772</v>
      </c>
      <c r="D598" s="172"/>
      <c r="E598" s="278"/>
      <c r="F598" s="476">
        <v>2.25</v>
      </c>
      <c r="G598" s="476">
        <v>5.15</v>
      </c>
      <c r="H598" s="476"/>
      <c r="I598" s="479" t="s">
        <v>1855</v>
      </c>
      <c r="J598" s="474">
        <f>ROUND(((F598+G598)*2)-(1*0.8),2)</f>
        <v>14</v>
      </c>
    </row>
    <row r="599" spans="2:10" s="470" customFormat="1" ht="15">
      <c r="B599" s="459"/>
      <c r="C599" s="278" t="s">
        <v>1771</v>
      </c>
      <c r="D599" s="172"/>
      <c r="E599" s="278"/>
      <c r="F599" s="476">
        <v>3.07</v>
      </c>
      <c r="G599" s="476">
        <v>5.15</v>
      </c>
      <c r="H599" s="476"/>
      <c r="I599" s="479" t="s">
        <v>1856</v>
      </c>
      <c r="J599" s="474">
        <f>ROUND(((F599+G599)*2)-(1*0.8)-(1*0.6),2)</f>
        <v>15.04</v>
      </c>
    </row>
    <row r="600" spans="2:10" s="470" customFormat="1" ht="15">
      <c r="B600" s="459"/>
      <c r="C600" s="278" t="s">
        <v>1745</v>
      </c>
      <c r="D600" s="172"/>
      <c r="E600" s="278"/>
      <c r="F600" s="476">
        <v>2.2799999999999998</v>
      </c>
      <c r="G600" s="476">
        <v>2.8</v>
      </c>
      <c r="H600" s="476"/>
      <c r="I600" s="479" t="s">
        <v>1855</v>
      </c>
      <c r="J600" s="474">
        <f>ROUND(((F600+G600)*2)-(1*0.8),2)</f>
        <v>9.36</v>
      </c>
    </row>
    <row r="601" spans="2:10" s="470" customFormat="1" ht="15">
      <c r="B601" s="459"/>
      <c r="C601" s="278" t="s">
        <v>1744</v>
      </c>
      <c r="D601" s="172"/>
      <c r="E601" s="278"/>
      <c r="F601" s="476">
        <v>2.2000000000000002</v>
      </c>
      <c r="G601" s="476">
        <v>4.43</v>
      </c>
      <c r="H601" s="476"/>
      <c r="I601" s="479" t="s">
        <v>1855</v>
      </c>
      <c r="J601" s="474">
        <f>ROUND(((F601+G601)*2)-(1*0.8),2)</f>
        <v>12.46</v>
      </c>
    </row>
    <row r="602" spans="2:10" s="470" customFormat="1" ht="15">
      <c r="B602" s="459"/>
      <c r="C602" s="278" t="s">
        <v>1743</v>
      </c>
      <c r="D602" s="172"/>
      <c r="E602" s="278"/>
      <c r="F602" s="476">
        <v>12.98</v>
      </c>
      <c r="G602" s="476">
        <v>5.15</v>
      </c>
      <c r="H602" s="476"/>
      <c r="I602" s="479" t="s">
        <v>1854</v>
      </c>
      <c r="J602" s="474">
        <f>ROUND(((F602+G602)*2)-(2*0.8)-(1*0.9),2)</f>
        <v>33.76</v>
      </c>
    </row>
    <row r="603" spans="2:10" s="470" customFormat="1" ht="15">
      <c r="B603" s="459"/>
      <c r="C603" s="278" t="s">
        <v>1762</v>
      </c>
      <c r="D603" s="172"/>
      <c r="E603" s="278"/>
      <c r="F603" s="476">
        <v>21.44</v>
      </c>
      <c r="G603" s="476">
        <v>2.54</v>
      </c>
      <c r="H603" s="476"/>
      <c r="I603" s="481" t="s">
        <v>1853</v>
      </c>
      <c r="J603" s="474">
        <f>ROUND(((F603+G603)*2)-(7*0.8)-(2*0.9)-(1*2.54),2)</f>
        <v>38.020000000000003</v>
      </c>
    </row>
    <row r="604" spans="2:10" ht="15">
      <c r="B604" s="459"/>
      <c r="C604" s="278"/>
      <c r="D604" s="172"/>
      <c r="E604" s="278"/>
      <c r="F604" s="468"/>
      <c r="G604" s="468"/>
      <c r="H604" s="468"/>
      <c r="I604" s="466"/>
      <c r="J604" s="465"/>
    </row>
    <row r="605" spans="2:10" s="460" customFormat="1" ht="15">
      <c r="B605" s="434" t="s">
        <v>1668</v>
      </c>
      <c r="C605" s="368" t="s">
        <v>1852</v>
      </c>
      <c r="D605" s="289"/>
      <c r="E605" s="368"/>
      <c r="F605" s="484"/>
      <c r="G605" s="484"/>
      <c r="H605" s="484"/>
      <c r="I605" s="483"/>
      <c r="J605" s="482">
        <f>SUM(J606:J626)</f>
        <v>114.34</v>
      </c>
    </row>
    <row r="606" spans="2:10" s="460" customFormat="1" ht="15">
      <c r="B606" s="434"/>
      <c r="C606" s="278" t="s">
        <v>1764</v>
      </c>
      <c r="D606" s="172"/>
      <c r="E606" s="278"/>
      <c r="F606" s="476">
        <v>1.32</v>
      </c>
      <c r="G606" s="476">
        <v>1.01</v>
      </c>
      <c r="H606" s="476"/>
      <c r="I606" s="481" t="s">
        <v>1847</v>
      </c>
      <c r="J606" s="474">
        <f>ROUND((F606+G606)*2-(1*0.6),2)</f>
        <v>4.0599999999999996</v>
      </c>
    </row>
    <row r="607" spans="2:10" s="460" customFormat="1" ht="15">
      <c r="B607" s="434"/>
      <c r="C607" s="278"/>
      <c r="D607" s="172"/>
      <c r="E607" s="278"/>
      <c r="F607" s="476">
        <v>1.32</v>
      </c>
      <c r="G607" s="476">
        <v>0.94</v>
      </c>
      <c r="H607" s="476"/>
      <c r="I607" s="481" t="s">
        <v>1847</v>
      </c>
      <c r="J607" s="474">
        <f>ROUND((F607+G607)*2-(1*0.6),2)</f>
        <v>3.92</v>
      </c>
    </row>
    <row r="608" spans="2:10" s="460" customFormat="1" ht="30">
      <c r="B608" s="434"/>
      <c r="C608" s="278"/>
      <c r="D608" s="172"/>
      <c r="E608" s="278"/>
      <c r="F608" s="476">
        <v>2.13</v>
      </c>
      <c r="G608" s="476">
        <v>1.02</v>
      </c>
      <c r="H608" s="476"/>
      <c r="I608" s="481" t="s">
        <v>1851</v>
      </c>
      <c r="J608" s="474">
        <f>ROUND((F608+G608)*2-(2*0.6)-(1*0.7),2)</f>
        <v>4.4000000000000004</v>
      </c>
    </row>
    <row r="609" spans="2:10" s="460" customFormat="1" ht="15">
      <c r="B609" s="434"/>
      <c r="C609" s="278" t="s">
        <v>1738</v>
      </c>
      <c r="D609" s="172"/>
      <c r="E609" s="278"/>
      <c r="F609" s="476">
        <v>1.32</v>
      </c>
      <c r="G609" s="476">
        <v>1.01</v>
      </c>
      <c r="H609" s="476"/>
      <c r="I609" s="481" t="s">
        <v>1847</v>
      </c>
      <c r="J609" s="474">
        <f>ROUND((F609+G609)*2-(1*0.6),2)</f>
        <v>4.0599999999999996</v>
      </c>
    </row>
    <row r="610" spans="2:10" s="460" customFormat="1" ht="15">
      <c r="B610" s="434"/>
      <c r="C610" s="278"/>
      <c r="D610" s="172"/>
      <c r="E610" s="278"/>
      <c r="F610" s="476">
        <v>1.32</v>
      </c>
      <c r="G610" s="476">
        <v>0.94</v>
      </c>
      <c r="H610" s="476"/>
      <c r="I610" s="481" t="s">
        <v>1847</v>
      </c>
      <c r="J610" s="474">
        <f>ROUND((F610+G610)*2-(1*0.6),2)</f>
        <v>3.92</v>
      </c>
    </row>
    <row r="611" spans="2:10" s="460" customFormat="1" ht="30">
      <c r="B611" s="434"/>
      <c r="C611" s="278"/>
      <c r="D611" s="172"/>
      <c r="E611" s="278"/>
      <c r="F611" s="476">
        <f>2.07+1.2</f>
        <v>3.2699999999999996</v>
      </c>
      <c r="G611" s="476">
        <v>2.37</v>
      </c>
      <c r="H611" s="476"/>
      <c r="I611" s="481" t="s">
        <v>1851</v>
      </c>
      <c r="J611" s="474">
        <f>ROUND((F611+G611)*2-(2*0.6)-(1*0.7),2)</f>
        <v>9.3800000000000008</v>
      </c>
    </row>
    <row r="612" spans="2:10" s="460" customFormat="1" ht="15">
      <c r="B612" s="434"/>
      <c r="C612" s="278" t="s">
        <v>1737</v>
      </c>
      <c r="D612" s="172"/>
      <c r="E612" s="278"/>
      <c r="F612" s="476">
        <v>1.1499999999999999</v>
      </c>
      <c r="G612" s="476">
        <v>0.89</v>
      </c>
      <c r="H612" s="476"/>
      <c r="I612" s="481" t="s">
        <v>1847</v>
      </c>
      <c r="J612" s="474">
        <f>ROUND((F612+G612)*2-(1*0.6),2)</f>
        <v>3.48</v>
      </c>
    </row>
    <row r="613" spans="2:10" s="460" customFormat="1" ht="15">
      <c r="B613" s="434"/>
      <c r="C613" s="278"/>
      <c r="D613" s="172"/>
      <c r="E613" s="278"/>
      <c r="F613" s="476">
        <v>1.1499999999999999</v>
      </c>
      <c r="G613" s="476">
        <v>0.89</v>
      </c>
      <c r="H613" s="476"/>
      <c r="I613" s="481" t="s">
        <v>1847</v>
      </c>
      <c r="J613" s="474">
        <f>ROUND((F613+G613)*2-(1*0.6),2)</f>
        <v>3.48</v>
      </c>
    </row>
    <row r="614" spans="2:10" s="460" customFormat="1" ht="30">
      <c r="B614" s="434"/>
      <c r="C614" s="278"/>
      <c r="D614" s="172"/>
      <c r="E614" s="278"/>
      <c r="F614" s="476">
        <v>3.05</v>
      </c>
      <c r="G614" s="476">
        <v>1.93</v>
      </c>
      <c r="H614" s="476"/>
      <c r="I614" s="481" t="s">
        <v>1851</v>
      </c>
      <c r="J614" s="474">
        <f>ROUND((F614+G614)*2-(2*0.6)-(1*0.7),2)</f>
        <v>8.06</v>
      </c>
    </row>
    <row r="615" spans="2:10" s="460" customFormat="1" ht="15">
      <c r="B615" s="434"/>
      <c r="C615" s="278"/>
      <c r="D615" s="172"/>
      <c r="E615" s="278"/>
      <c r="F615" s="476">
        <f>0.9+0.9</f>
        <v>1.8</v>
      </c>
      <c r="G615" s="476"/>
      <c r="H615" s="476"/>
      <c r="I615" s="481"/>
      <c r="J615" s="474">
        <f>F615</f>
        <v>1.8</v>
      </c>
    </row>
    <row r="616" spans="2:10" s="460" customFormat="1" ht="15">
      <c r="B616" s="434"/>
      <c r="C616" s="278" t="s">
        <v>1763</v>
      </c>
      <c r="D616" s="172"/>
      <c r="E616" s="278"/>
      <c r="F616" s="476">
        <v>1.1499999999999999</v>
      </c>
      <c r="G616" s="476">
        <v>0.95</v>
      </c>
      <c r="H616" s="476"/>
      <c r="I616" s="481" t="s">
        <v>1847</v>
      </c>
      <c r="J616" s="474">
        <f>ROUND((F616+G616)*2-(1*0.6),2)</f>
        <v>3.6</v>
      </c>
    </row>
    <row r="617" spans="2:10" s="460" customFormat="1" ht="15">
      <c r="B617" s="434"/>
      <c r="C617" s="278"/>
      <c r="D617" s="172"/>
      <c r="E617" s="278"/>
      <c r="F617" s="476">
        <v>1.1499999999999999</v>
      </c>
      <c r="G617" s="476">
        <v>0.95</v>
      </c>
      <c r="H617" s="476"/>
      <c r="I617" s="481" t="s">
        <v>1847</v>
      </c>
      <c r="J617" s="474">
        <f>ROUND((F617+G617)*2-(1*0.6),2)</f>
        <v>3.6</v>
      </c>
    </row>
    <row r="618" spans="2:10" s="460" customFormat="1" ht="30">
      <c r="B618" s="434"/>
      <c r="C618" s="278"/>
      <c r="D618" s="172"/>
      <c r="E618" s="278"/>
      <c r="F618" s="476">
        <v>3.05</v>
      </c>
      <c r="G618" s="476">
        <v>2.06</v>
      </c>
      <c r="H618" s="476"/>
      <c r="I618" s="481" t="s">
        <v>1851</v>
      </c>
      <c r="J618" s="474">
        <f>ROUND((F618+G618)*2-(2*0.6)-(1*0.7),2)</f>
        <v>8.32</v>
      </c>
    </row>
    <row r="619" spans="2:10" s="460" customFormat="1" ht="15">
      <c r="B619" s="434"/>
      <c r="C619" s="278"/>
      <c r="D619" s="172"/>
      <c r="E619" s="278"/>
      <c r="F619" s="476">
        <f>0.9+0.9</f>
        <v>1.8</v>
      </c>
      <c r="G619" s="476"/>
      <c r="H619" s="476"/>
      <c r="I619" s="481"/>
      <c r="J619" s="474">
        <f>F619</f>
        <v>1.8</v>
      </c>
    </row>
    <row r="620" spans="2:10" s="460" customFormat="1" ht="30">
      <c r="B620" s="434"/>
      <c r="C620" s="278" t="s">
        <v>1739</v>
      </c>
      <c r="D620" s="172"/>
      <c r="E620" s="278"/>
      <c r="F620" s="476">
        <v>4.3499999999999996</v>
      </c>
      <c r="G620" s="476">
        <v>2.66</v>
      </c>
      <c r="H620" s="476"/>
      <c r="I620" s="481" t="s">
        <v>1850</v>
      </c>
      <c r="J620" s="474">
        <f t="shared" ref="J620:J626" si="11">ROUND((F620+G620)*2-(1*0.6),2)</f>
        <v>13.42</v>
      </c>
    </row>
    <row r="621" spans="2:10" s="460" customFormat="1" ht="30">
      <c r="B621" s="434"/>
      <c r="C621" s="278" t="s">
        <v>1728</v>
      </c>
      <c r="D621" s="172"/>
      <c r="E621" s="278"/>
      <c r="F621" s="476">
        <v>3.27</v>
      </c>
      <c r="G621" s="476">
        <v>2.2999999999999998</v>
      </c>
      <c r="H621" s="476"/>
      <c r="I621" s="481" t="s">
        <v>1850</v>
      </c>
      <c r="J621" s="474">
        <f t="shared" si="11"/>
        <v>10.54</v>
      </c>
    </row>
    <row r="622" spans="2:10" s="460" customFormat="1" ht="15">
      <c r="B622" s="434"/>
      <c r="C622" s="278" t="s">
        <v>1849</v>
      </c>
      <c r="D622" s="172"/>
      <c r="E622" s="278"/>
      <c r="F622" s="473">
        <v>1.85</v>
      </c>
      <c r="G622" s="473">
        <v>1.0900000000000001</v>
      </c>
      <c r="H622" s="473"/>
      <c r="I622" s="481" t="s">
        <v>1847</v>
      </c>
      <c r="J622" s="474">
        <f t="shared" si="11"/>
        <v>5.28</v>
      </c>
    </row>
    <row r="623" spans="2:10" s="460" customFormat="1" ht="15">
      <c r="B623" s="434"/>
      <c r="C623" s="278" t="s">
        <v>1848</v>
      </c>
      <c r="D623" s="172"/>
      <c r="E623" s="278"/>
      <c r="F623" s="473">
        <v>1.85</v>
      </c>
      <c r="G623" s="473">
        <v>1.0900000000000001</v>
      </c>
      <c r="H623" s="473"/>
      <c r="I623" s="481" t="s">
        <v>1847</v>
      </c>
      <c r="J623" s="474">
        <f t="shared" si="11"/>
        <v>5.28</v>
      </c>
    </row>
    <row r="624" spans="2:10" s="460" customFormat="1" ht="15">
      <c r="B624" s="434"/>
      <c r="C624" s="278" t="s">
        <v>1767</v>
      </c>
      <c r="D624" s="172"/>
      <c r="E624" s="278"/>
      <c r="F624" s="476">
        <v>1.72</v>
      </c>
      <c r="G624" s="476">
        <v>1.39</v>
      </c>
      <c r="H624" s="476"/>
      <c r="I624" s="481" t="s">
        <v>1847</v>
      </c>
      <c r="J624" s="474">
        <f t="shared" si="11"/>
        <v>5.62</v>
      </c>
    </row>
    <row r="625" spans="2:10" s="460" customFormat="1" ht="15">
      <c r="B625" s="434"/>
      <c r="C625" s="278" t="s">
        <v>1766</v>
      </c>
      <c r="D625" s="172"/>
      <c r="E625" s="278"/>
      <c r="F625" s="476">
        <v>1.1499999999999999</v>
      </c>
      <c r="G625" s="476">
        <v>1.59</v>
      </c>
      <c r="H625" s="476"/>
      <c r="I625" s="481" t="s">
        <v>1847</v>
      </c>
      <c r="J625" s="474">
        <f t="shared" si="11"/>
        <v>4.88</v>
      </c>
    </row>
    <row r="626" spans="2:10" s="460" customFormat="1" ht="15">
      <c r="B626" s="434"/>
      <c r="C626" s="278" t="s">
        <v>1765</v>
      </c>
      <c r="D626" s="172"/>
      <c r="E626" s="278"/>
      <c r="F626" s="476">
        <v>1.55</v>
      </c>
      <c r="G626" s="476">
        <v>1.47</v>
      </c>
      <c r="H626" s="476"/>
      <c r="I626" s="481" t="s">
        <v>1847</v>
      </c>
      <c r="J626" s="474">
        <f t="shared" si="11"/>
        <v>5.44</v>
      </c>
    </row>
    <row r="627" spans="2:10" ht="15">
      <c r="B627" s="459"/>
      <c r="C627" s="278"/>
      <c r="D627" s="172"/>
      <c r="E627" s="278"/>
      <c r="F627" s="468"/>
      <c r="G627" s="468"/>
      <c r="H627" s="468"/>
      <c r="I627" s="466"/>
      <c r="J627" s="465"/>
    </row>
    <row r="628" spans="2:10" s="460" customFormat="1" ht="51">
      <c r="B628" s="464" t="s">
        <v>1665</v>
      </c>
      <c r="C628" s="368" t="str">
        <f>ORCAMENTO!D366</f>
        <v>SOLEIRA GRANITO CINZA ANDORINHA ESP=2CM,L=15CM (EQUIVALENTE A SOLEIRA DE MARMORE BRANCO, LARGURA 15CM, ESPESSURA 3CM, ASSENTADA SOBRE ARGAMASSA TRACO 1:4 (CIMENTO E AREIA))</v>
      </c>
      <c r="D628" s="289" t="str">
        <f>'[5]PLANILHA ORÇAMENTÁRIA'!F120</f>
        <v>M</v>
      </c>
      <c r="E628" s="368"/>
      <c r="F628" s="478"/>
      <c r="G628" s="478"/>
      <c r="H628" s="478"/>
      <c r="I628" s="477"/>
      <c r="J628" s="469">
        <f>SUM(J629:J634)</f>
        <v>55.099999999999994</v>
      </c>
    </row>
    <row r="629" spans="2:10" ht="15">
      <c r="B629" s="459"/>
      <c r="C629" s="278" t="s">
        <v>1758</v>
      </c>
      <c r="D629" s="172" t="s">
        <v>698</v>
      </c>
      <c r="E629" s="278">
        <v>14</v>
      </c>
      <c r="F629" s="476">
        <v>0.65</v>
      </c>
      <c r="G629" s="476"/>
      <c r="H629" s="476"/>
      <c r="I629" s="475"/>
      <c r="J629" s="474">
        <f t="shared" ref="J629:J634" si="12">E629*F629</f>
        <v>9.1</v>
      </c>
    </row>
    <row r="630" spans="2:10" ht="15">
      <c r="B630" s="459"/>
      <c r="C630" s="278" t="s">
        <v>1757</v>
      </c>
      <c r="D630" s="172" t="s">
        <v>698</v>
      </c>
      <c r="E630" s="278">
        <v>5</v>
      </c>
      <c r="F630" s="476">
        <v>0.75</v>
      </c>
      <c r="G630" s="476"/>
      <c r="H630" s="476"/>
      <c r="I630" s="475"/>
      <c r="J630" s="474">
        <f t="shared" si="12"/>
        <v>3.75</v>
      </c>
    </row>
    <row r="631" spans="2:10" ht="15">
      <c r="B631" s="459"/>
      <c r="C631" s="278" t="s">
        <v>1756</v>
      </c>
      <c r="D631" s="172" t="s">
        <v>698</v>
      </c>
      <c r="E631" s="278">
        <v>42</v>
      </c>
      <c r="F631" s="476">
        <v>0.85</v>
      </c>
      <c r="G631" s="476"/>
      <c r="H631" s="476"/>
      <c r="I631" s="475"/>
      <c r="J631" s="474">
        <f t="shared" si="12"/>
        <v>35.699999999999996</v>
      </c>
    </row>
    <row r="632" spans="2:10" ht="15">
      <c r="B632" s="459"/>
      <c r="C632" s="278" t="s">
        <v>1755</v>
      </c>
      <c r="D632" s="172" t="s">
        <v>698</v>
      </c>
      <c r="E632" s="278">
        <v>4</v>
      </c>
      <c r="F632" s="476">
        <v>0.95</v>
      </c>
      <c r="G632" s="476"/>
      <c r="H632" s="476"/>
      <c r="I632" s="475"/>
      <c r="J632" s="474">
        <f t="shared" si="12"/>
        <v>3.8</v>
      </c>
    </row>
    <row r="633" spans="2:10" ht="15">
      <c r="B633" s="459"/>
      <c r="C633" s="278" t="s">
        <v>1754</v>
      </c>
      <c r="D633" s="172" t="s">
        <v>698</v>
      </c>
      <c r="E633" s="278">
        <v>1</v>
      </c>
      <c r="F633" s="476">
        <v>0.85</v>
      </c>
      <c r="G633" s="476"/>
      <c r="H633" s="476"/>
      <c r="I633" s="475"/>
      <c r="J633" s="474">
        <f t="shared" si="12"/>
        <v>0.85</v>
      </c>
    </row>
    <row r="634" spans="2:10" ht="15">
      <c r="B634" s="459"/>
      <c r="C634" s="278" t="s">
        <v>1846</v>
      </c>
      <c r="D634" s="172" t="s">
        <v>698</v>
      </c>
      <c r="E634" s="278">
        <v>2</v>
      </c>
      <c r="F634" s="476">
        <v>0.95</v>
      </c>
      <c r="G634" s="476"/>
      <c r="H634" s="476"/>
      <c r="I634" s="475"/>
      <c r="J634" s="474">
        <f t="shared" si="12"/>
        <v>1.9</v>
      </c>
    </row>
    <row r="635" spans="2:10" ht="15">
      <c r="B635" s="459"/>
      <c r="C635" s="278"/>
      <c r="D635" s="172"/>
      <c r="E635" s="368"/>
      <c r="F635" s="476"/>
      <c r="G635" s="476"/>
      <c r="H635" s="476"/>
      <c r="I635" s="475"/>
      <c r="J635" s="474"/>
    </row>
    <row r="636" spans="2:10" s="460" customFormat="1" ht="30.75" customHeight="1">
      <c r="B636" s="464" t="s">
        <v>1664</v>
      </c>
      <c r="C636" s="368" t="str">
        <f>ORCAMENTO!D367</f>
        <v>PISO TATIL DE ALERTA OU DIRECIONAL, DE BORRACHA, COLORIDO, 25 X 25 CM, E = 5 MM, PARA COLA</v>
      </c>
      <c r="D636" s="289" t="str">
        <f>'[5]PLANILHA ORÇAMENTÁRIA'!F121</f>
        <v>M2</v>
      </c>
      <c r="E636" s="278"/>
      <c r="F636" s="478"/>
      <c r="G636" s="478"/>
      <c r="H636" s="478"/>
      <c r="I636" s="477"/>
      <c r="J636" s="469">
        <f>SUM(J637+J647)</f>
        <v>19.8</v>
      </c>
    </row>
    <row r="637" spans="2:10" ht="15">
      <c r="B637" s="459"/>
      <c r="C637" s="278" t="s">
        <v>707</v>
      </c>
      <c r="D637" s="172"/>
      <c r="E637" s="278"/>
      <c r="F637" s="476"/>
      <c r="G637" s="476"/>
      <c r="H637" s="476"/>
      <c r="I637" s="475"/>
      <c r="J637" s="474">
        <f>SUM(J638:J645)</f>
        <v>18.05</v>
      </c>
    </row>
    <row r="638" spans="2:10" ht="15">
      <c r="B638" s="459"/>
      <c r="C638" s="278" t="s">
        <v>1845</v>
      </c>
      <c r="D638" s="172"/>
      <c r="E638" s="278"/>
      <c r="F638" s="476">
        <v>4.8</v>
      </c>
      <c r="G638" s="476"/>
      <c r="H638" s="476"/>
      <c r="I638" s="475"/>
      <c r="J638" s="474">
        <f t="shared" ref="J638:J645" si="13">F638</f>
        <v>4.8</v>
      </c>
    </row>
    <row r="639" spans="2:10" ht="15">
      <c r="B639" s="459"/>
      <c r="C639" s="278" t="s">
        <v>1844</v>
      </c>
      <c r="D639" s="172"/>
      <c r="E639" s="278"/>
      <c r="F639" s="476">
        <v>2.25</v>
      </c>
      <c r="G639" s="476"/>
      <c r="H639" s="476"/>
      <c r="I639" s="475"/>
      <c r="J639" s="474">
        <f t="shared" si="13"/>
        <v>2.25</v>
      </c>
    </row>
    <row r="640" spans="2:10" ht="15">
      <c r="B640" s="459"/>
      <c r="C640" s="278"/>
      <c r="D640" s="172"/>
      <c r="E640" s="278"/>
      <c r="F640" s="476">
        <v>2.5</v>
      </c>
      <c r="G640" s="476"/>
      <c r="H640" s="476"/>
      <c r="I640" s="475"/>
      <c r="J640" s="474">
        <f t="shared" si="13"/>
        <v>2.5</v>
      </c>
    </row>
    <row r="641" spans="2:10" ht="15">
      <c r="B641" s="459"/>
      <c r="C641" s="278"/>
      <c r="D641" s="172"/>
      <c r="E641" s="278"/>
      <c r="F641" s="476">
        <v>2.5</v>
      </c>
      <c r="G641" s="476"/>
      <c r="H641" s="476"/>
      <c r="I641" s="475"/>
      <c r="J641" s="474">
        <f t="shared" si="13"/>
        <v>2.5</v>
      </c>
    </row>
    <row r="642" spans="2:10" ht="15">
      <c r="B642" s="459"/>
      <c r="C642" s="278"/>
      <c r="D642" s="172"/>
      <c r="E642" s="278"/>
      <c r="F642" s="476">
        <v>3.5</v>
      </c>
      <c r="G642" s="476"/>
      <c r="H642" s="476"/>
      <c r="I642" s="475"/>
      <c r="J642" s="474">
        <f t="shared" si="13"/>
        <v>3.5</v>
      </c>
    </row>
    <row r="643" spans="2:10" ht="15">
      <c r="B643" s="459"/>
      <c r="C643" s="278"/>
      <c r="D643" s="172"/>
      <c r="E643" s="278"/>
      <c r="F643" s="476">
        <v>0.5</v>
      </c>
      <c r="G643" s="476"/>
      <c r="H643" s="476"/>
      <c r="I643" s="475"/>
      <c r="J643" s="474">
        <f t="shared" si="13"/>
        <v>0.5</v>
      </c>
    </row>
    <row r="644" spans="2:10" ht="15">
      <c r="B644" s="459"/>
      <c r="C644" s="278"/>
      <c r="D644" s="172"/>
      <c r="E644" s="278"/>
      <c r="F644" s="476">
        <v>1.75</v>
      </c>
      <c r="G644" s="476"/>
      <c r="H644" s="476"/>
      <c r="I644" s="475"/>
      <c r="J644" s="474">
        <f t="shared" si="13"/>
        <v>1.75</v>
      </c>
    </row>
    <row r="645" spans="2:10" ht="15">
      <c r="B645" s="459"/>
      <c r="C645" s="278"/>
      <c r="D645" s="172"/>
      <c r="E645" s="278"/>
      <c r="F645" s="476">
        <v>0.25</v>
      </c>
      <c r="G645" s="476"/>
      <c r="H645" s="476"/>
      <c r="I645" s="475"/>
      <c r="J645" s="474">
        <f t="shared" si="13"/>
        <v>0.25</v>
      </c>
    </row>
    <row r="646" spans="2:10" ht="15">
      <c r="B646" s="459"/>
      <c r="C646" s="278"/>
      <c r="D646" s="172"/>
      <c r="E646" s="278"/>
      <c r="F646" s="476"/>
      <c r="G646" s="476"/>
      <c r="H646" s="476"/>
      <c r="I646" s="475"/>
      <c r="J646" s="474"/>
    </row>
    <row r="647" spans="2:10" ht="15">
      <c r="B647" s="459"/>
      <c r="C647" s="278" t="s">
        <v>709</v>
      </c>
      <c r="D647" s="172"/>
      <c r="E647" s="278"/>
      <c r="F647" s="476"/>
      <c r="G647" s="476"/>
      <c r="H647" s="476"/>
      <c r="I647" s="475"/>
      <c r="J647" s="474">
        <f>SUM(J648:J649)</f>
        <v>1.75</v>
      </c>
    </row>
    <row r="648" spans="2:10" ht="15">
      <c r="B648" s="459"/>
      <c r="C648" s="278" t="s">
        <v>1844</v>
      </c>
      <c r="D648" s="172"/>
      <c r="E648" s="278"/>
      <c r="F648" s="476">
        <v>1</v>
      </c>
      <c r="G648" s="476"/>
      <c r="H648" s="476"/>
      <c r="I648" s="475"/>
      <c r="J648" s="474">
        <f>F648</f>
        <v>1</v>
      </c>
    </row>
    <row r="649" spans="2:10" ht="15">
      <c r="B649" s="459"/>
      <c r="C649" s="278"/>
      <c r="D649" s="172"/>
      <c r="E649" s="278"/>
      <c r="F649" s="476">
        <v>0.75</v>
      </c>
      <c r="G649" s="476"/>
      <c r="H649" s="476"/>
      <c r="I649" s="475"/>
      <c r="J649" s="474">
        <f>F649</f>
        <v>0.75</v>
      </c>
    </row>
    <row r="650" spans="2:10" ht="15">
      <c r="B650" s="434">
        <v>8</v>
      </c>
      <c r="C650" s="123" t="s">
        <v>1843</v>
      </c>
      <c r="D650" s="123"/>
      <c r="E650" s="368"/>
      <c r="F650" s="485"/>
      <c r="G650" s="485"/>
      <c r="H650" s="485"/>
      <c r="I650" s="432"/>
      <c r="J650" s="431"/>
    </row>
    <row r="651" spans="2:10" s="460" customFormat="1" ht="25.5">
      <c r="B651" s="464"/>
      <c r="C651" s="368" t="str">
        <f>ORCAMENTO!D369</f>
        <v>APLICAÇÃO E LIXAMENTO DE MASSA LÁTEX EM PAREDES, DUAS DEMÃOS. AF_06/2014</v>
      </c>
      <c r="D651" s="289" t="str">
        <f>'[5]PLANILHA ORÇAMENTÁRIA'!F132</f>
        <v>M2</v>
      </c>
      <c r="E651" s="368"/>
      <c r="F651" s="484"/>
      <c r="G651" s="484"/>
      <c r="H651" s="484"/>
      <c r="I651" s="483"/>
      <c r="J651" s="482"/>
    </row>
    <row r="652" spans="2:10" s="460" customFormat="1" ht="15">
      <c r="B652" s="464" t="s">
        <v>645</v>
      </c>
      <c r="C652" s="368" t="s">
        <v>1842</v>
      </c>
      <c r="D652" s="289"/>
      <c r="E652" s="368"/>
      <c r="F652" s="478"/>
      <c r="G652" s="478"/>
      <c r="H652" s="478"/>
      <c r="I652" s="477"/>
      <c r="J652" s="469">
        <f>SUM(J653:J739)</f>
        <v>2293.2248</v>
      </c>
    </row>
    <row r="653" spans="2:10" s="460" customFormat="1" ht="15">
      <c r="B653" s="464"/>
      <c r="C653" s="278" t="s">
        <v>1801</v>
      </c>
      <c r="D653" s="172"/>
      <c r="E653" s="278"/>
      <c r="F653" s="476">
        <v>3</v>
      </c>
      <c r="G653" s="476">
        <f>2.5+0.15+1.61</f>
        <v>4.26</v>
      </c>
      <c r="H653" s="476">
        <v>2.83</v>
      </c>
      <c r="I653" s="479" t="s">
        <v>1838</v>
      </c>
      <c r="J653" s="474">
        <f>ROUND(((F653+G653)*2*H653)-(2*0.8*2.1),2)</f>
        <v>37.729999999999997</v>
      </c>
    </row>
    <row r="654" spans="2:10" s="460" customFormat="1" ht="15">
      <c r="B654" s="464"/>
      <c r="C654" s="278" t="s">
        <v>1750</v>
      </c>
      <c r="D654" s="172"/>
      <c r="E654" s="278"/>
      <c r="F654" s="476">
        <v>1.83</v>
      </c>
      <c r="G654" s="476">
        <v>6.23</v>
      </c>
      <c r="H654" s="476">
        <v>2.83</v>
      </c>
      <c r="I654" s="479" t="s">
        <v>1827</v>
      </c>
      <c r="J654" s="474">
        <f>ROUND(((F654+G654)*2*H654)-(1*0.8*2.1),2)</f>
        <v>43.94</v>
      </c>
    </row>
    <row r="655" spans="2:10" s="460" customFormat="1" ht="15">
      <c r="B655" s="464"/>
      <c r="C655" s="278"/>
      <c r="D655" s="172"/>
      <c r="E655" s="278"/>
      <c r="F655" s="476">
        <f>0.8+0.15+0.8</f>
        <v>1.75</v>
      </c>
      <c r="G655" s="476"/>
      <c r="H655" s="476">
        <v>2.83</v>
      </c>
      <c r="I655" s="479"/>
      <c r="J655" s="474">
        <f>ROUND(F655*H655,2)</f>
        <v>4.95</v>
      </c>
    </row>
    <row r="656" spans="2:10" s="460" customFormat="1" ht="15">
      <c r="B656" s="464"/>
      <c r="C656" s="278" t="s">
        <v>1749</v>
      </c>
      <c r="D656" s="172"/>
      <c r="E656" s="278"/>
      <c r="F656" s="476">
        <v>2.3199999999999998</v>
      </c>
      <c r="G656" s="476">
        <v>4.49</v>
      </c>
      <c r="H656" s="476">
        <v>2.83</v>
      </c>
      <c r="I656" s="479" t="s">
        <v>1838</v>
      </c>
      <c r="J656" s="474">
        <f>ROUND(((F656+G656)*2*H656)-(2*0.8*2.1),2)</f>
        <v>35.18</v>
      </c>
    </row>
    <row r="657" spans="2:10" s="460" customFormat="1" ht="15">
      <c r="B657" s="464"/>
      <c r="C657" s="278" t="s">
        <v>1800</v>
      </c>
      <c r="D657" s="172"/>
      <c r="E657" s="278"/>
      <c r="F657" s="476">
        <v>1.59</v>
      </c>
      <c r="G657" s="476">
        <v>1.0900000000000001</v>
      </c>
      <c r="H657" s="476">
        <v>2.83</v>
      </c>
      <c r="I657" s="479" t="s">
        <v>1838</v>
      </c>
      <c r="J657" s="474">
        <f>ROUND(((F657+G657)*2*H657)-(2*0.8*2.1),2)</f>
        <v>11.81</v>
      </c>
    </row>
    <row r="658" spans="2:10" s="460" customFormat="1" ht="15">
      <c r="B658" s="464"/>
      <c r="C658" s="278" t="s">
        <v>1799</v>
      </c>
      <c r="D658" s="172"/>
      <c r="E658" s="278"/>
      <c r="F658" s="476">
        <v>3</v>
      </c>
      <c r="G658" s="476">
        <v>1.59</v>
      </c>
      <c r="H658" s="476">
        <v>2.83</v>
      </c>
      <c r="I658" s="479" t="s">
        <v>1827</v>
      </c>
      <c r="J658" s="474">
        <f>ROUND(((F658+G658)*2*H658)-(1*0.8*2.1),2)</f>
        <v>24.3</v>
      </c>
    </row>
    <row r="659" spans="2:10" s="460" customFormat="1" ht="15">
      <c r="B659" s="464"/>
      <c r="C659" s="278" t="s">
        <v>1798</v>
      </c>
      <c r="D659" s="172"/>
      <c r="E659" s="278"/>
      <c r="F659" s="476">
        <v>3</v>
      </c>
      <c r="G659" s="476"/>
      <c r="H659" s="476">
        <v>2.83</v>
      </c>
      <c r="I659" s="481"/>
      <c r="J659" s="474">
        <f>ROUND((F659*H659),2)</f>
        <v>8.49</v>
      </c>
    </row>
    <row r="660" spans="2:10" s="460" customFormat="1" ht="15">
      <c r="B660" s="464"/>
      <c r="C660" s="278"/>
      <c r="D660" s="172"/>
      <c r="E660" s="278"/>
      <c r="F660" s="476">
        <v>1.8</v>
      </c>
      <c r="G660" s="476"/>
      <c r="H660" s="476">
        <v>2.83</v>
      </c>
      <c r="I660" s="479"/>
      <c r="J660" s="474">
        <f>ROUND((F660*H660),2)</f>
        <v>5.09</v>
      </c>
    </row>
    <row r="661" spans="2:10" s="460" customFormat="1" ht="15">
      <c r="B661" s="464"/>
      <c r="C661" s="278"/>
      <c r="D661" s="172"/>
      <c r="E661" s="278"/>
      <c r="F661" s="476">
        <f>1.54+1</f>
        <v>2.54</v>
      </c>
      <c r="G661" s="476"/>
      <c r="H661" s="476">
        <v>2.83</v>
      </c>
      <c r="I661" s="479"/>
      <c r="J661" s="474">
        <f>ROUND((F661*H661),2)</f>
        <v>7.19</v>
      </c>
    </row>
    <row r="662" spans="2:10" s="460" customFormat="1" ht="15">
      <c r="B662" s="464"/>
      <c r="C662" s="278"/>
      <c r="D662" s="172"/>
      <c r="E662" s="278"/>
      <c r="F662" s="476">
        <v>2.0699999999999998</v>
      </c>
      <c r="G662" s="476"/>
      <c r="H662" s="476">
        <v>2.83</v>
      </c>
      <c r="I662" s="479"/>
      <c r="J662" s="474">
        <f>ROUND((F662*H662),2)</f>
        <v>5.86</v>
      </c>
    </row>
    <row r="663" spans="2:10" s="460" customFormat="1" ht="15">
      <c r="B663" s="464"/>
      <c r="C663" s="278"/>
      <c r="D663" s="172"/>
      <c r="E663" s="278"/>
      <c r="F663" s="476">
        <v>1.87</v>
      </c>
      <c r="G663" s="476"/>
      <c r="H663" s="476">
        <v>2.83</v>
      </c>
      <c r="I663" s="479" t="s">
        <v>1831</v>
      </c>
      <c r="J663" s="474">
        <f>ROUND((F663*H663)-(1*0.6*2.1),2)</f>
        <v>4.03</v>
      </c>
    </row>
    <row r="664" spans="2:10" s="460" customFormat="1" ht="15">
      <c r="B664" s="464"/>
      <c r="C664" s="278"/>
      <c r="D664" s="172"/>
      <c r="E664" s="278"/>
      <c r="F664" s="476">
        <v>2.54</v>
      </c>
      <c r="G664" s="476"/>
      <c r="H664" s="476">
        <v>2.83</v>
      </c>
      <c r="I664" s="479" t="s">
        <v>1827</v>
      </c>
      <c r="J664" s="474">
        <f>ROUND((F664*H664)-(1*0.8*2.1),2)</f>
        <v>5.51</v>
      </c>
    </row>
    <row r="665" spans="2:10" s="460" customFormat="1" ht="15">
      <c r="B665" s="464"/>
      <c r="C665" s="278" t="s">
        <v>1797</v>
      </c>
      <c r="D665" s="172"/>
      <c r="E665" s="278"/>
      <c r="F665" s="476">
        <v>1.8</v>
      </c>
      <c r="G665" s="476">
        <v>3.07</v>
      </c>
      <c r="H665" s="476">
        <v>2.83</v>
      </c>
      <c r="I665" s="479" t="s">
        <v>1814</v>
      </c>
      <c r="J665" s="474">
        <f>ROUND(((F665+G665)*2*H665)-(1*1*2.1),2)</f>
        <v>25.46</v>
      </c>
    </row>
    <row r="666" spans="2:10" s="460" customFormat="1" ht="15">
      <c r="B666" s="464"/>
      <c r="C666" s="278" t="s">
        <v>1796</v>
      </c>
      <c r="D666" s="172"/>
      <c r="E666" s="278"/>
      <c r="F666" s="476">
        <v>1.8</v>
      </c>
      <c r="G666" s="476">
        <v>3.23</v>
      </c>
      <c r="H666" s="476">
        <v>2.83</v>
      </c>
      <c r="I666" s="479" t="s">
        <v>1841</v>
      </c>
      <c r="J666" s="474">
        <f>ROUND(((F666+G666)*2*H666)-(1*0.8*2.1)-(1*1.23*2.1),2)</f>
        <v>24.21</v>
      </c>
    </row>
    <row r="667" spans="2:10" s="460" customFormat="1" ht="30">
      <c r="B667" s="464"/>
      <c r="C667" s="278" t="s">
        <v>1795</v>
      </c>
      <c r="D667" s="172"/>
      <c r="E667" s="278"/>
      <c r="F667" s="476">
        <v>1.59</v>
      </c>
      <c r="G667" s="476">
        <v>3.93</v>
      </c>
      <c r="H667" s="476">
        <v>2.83</v>
      </c>
      <c r="I667" s="481" t="s">
        <v>1840</v>
      </c>
      <c r="J667" s="474">
        <f>ROUND(((F667+G667)*2*H667)-(1*0.8*2.1)-(1*1.23*2.1)-(1*0.6*2.1),2)</f>
        <v>25.72</v>
      </c>
    </row>
    <row r="668" spans="2:10" s="460" customFormat="1" ht="15">
      <c r="B668" s="464"/>
      <c r="C668" s="278"/>
      <c r="D668" s="172"/>
      <c r="E668" s="278">
        <v>2</v>
      </c>
      <c r="F668" s="476">
        <v>0.7</v>
      </c>
      <c r="G668" s="476"/>
      <c r="H668" s="476">
        <v>2.83</v>
      </c>
      <c r="I668" s="475"/>
      <c r="J668" s="474">
        <f>ROUND(E668*F668*H668,2)</f>
        <v>3.96</v>
      </c>
    </row>
    <row r="669" spans="2:10" s="460" customFormat="1" ht="15">
      <c r="B669" s="464"/>
      <c r="C669" s="278" t="s">
        <v>1741</v>
      </c>
      <c r="D669" s="172"/>
      <c r="E669" s="278"/>
      <c r="F669" s="476">
        <v>2.94</v>
      </c>
      <c r="G669" s="476">
        <v>3.54</v>
      </c>
      <c r="H669" s="476">
        <v>2.83</v>
      </c>
      <c r="I669" s="479" t="s">
        <v>1838</v>
      </c>
      <c r="J669" s="474">
        <f>ROUND(((F669+G669)*2*H669)-(2*0.8*2.1),2)</f>
        <v>33.32</v>
      </c>
    </row>
    <row r="670" spans="2:10" s="460" customFormat="1" ht="15">
      <c r="B670" s="464"/>
      <c r="C670" s="278"/>
      <c r="D670" s="172"/>
      <c r="E670" s="278">
        <v>4</v>
      </c>
      <c r="F670" s="476">
        <v>0.7</v>
      </c>
      <c r="G670" s="476"/>
      <c r="H670" s="476">
        <v>2.83</v>
      </c>
      <c r="I670" s="479"/>
      <c r="J670" s="474">
        <f>ROUND(E670*F670*H670,2)</f>
        <v>7.92</v>
      </c>
    </row>
    <row r="671" spans="2:10" s="460" customFormat="1" ht="15">
      <c r="B671" s="464"/>
      <c r="C671" s="278" t="s">
        <v>1740</v>
      </c>
      <c r="D671" s="172"/>
      <c r="E671" s="278"/>
      <c r="F671" s="476">
        <v>3</v>
      </c>
      <c r="G671" s="476">
        <v>3.54</v>
      </c>
      <c r="H671" s="476">
        <v>2.83</v>
      </c>
      <c r="I671" s="479" t="s">
        <v>1838</v>
      </c>
      <c r="J671" s="474">
        <f>ROUND(((F671+G671)*2*H671)-(2*0.8*2.1),2)</f>
        <v>33.659999999999997</v>
      </c>
    </row>
    <row r="672" spans="2:10" s="460" customFormat="1" ht="15">
      <c r="B672" s="464"/>
      <c r="C672" s="278"/>
      <c r="D672" s="172"/>
      <c r="E672" s="278">
        <v>4</v>
      </c>
      <c r="F672" s="476">
        <v>0.7</v>
      </c>
      <c r="G672" s="476"/>
      <c r="H672" s="476">
        <v>2.83</v>
      </c>
      <c r="I672" s="479"/>
      <c r="J672" s="474">
        <f>ROUND(E672*F672*H672,2)</f>
        <v>7.92</v>
      </c>
    </row>
    <row r="673" spans="2:10" s="460" customFormat="1" ht="15">
      <c r="B673" s="464"/>
      <c r="C673" s="278" t="s">
        <v>1794</v>
      </c>
      <c r="D673" s="172"/>
      <c r="E673" s="278"/>
      <c r="F673" s="476">
        <v>2.94</v>
      </c>
      <c r="G673" s="476">
        <v>3.54</v>
      </c>
      <c r="H673" s="476">
        <v>2.83</v>
      </c>
      <c r="I673" s="479" t="s">
        <v>1838</v>
      </c>
      <c r="J673" s="474">
        <f>ROUND(((F673+G673)*2*H673)-(2*0.8*2.1),2)</f>
        <v>33.32</v>
      </c>
    </row>
    <row r="674" spans="2:10" s="460" customFormat="1" ht="15">
      <c r="B674" s="464"/>
      <c r="C674" s="278"/>
      <c r="D674" s="172"/>
      <c r="E674" s="278">
        <v>4</v>
      </c>
      <c r="F674" s="476">
        <v>0.7</v>
      </c>
      <c r="G674" s="476"/>
      <c r="H674" s="476">
        <v>2.83</v>
      </c>
      <c r="I674" s="479"/>
      <c r="J674" s="474">
        <f>ROUND(E674*F674*H674,2)</f>
        <v>7.92</v>
      </c>
    </row>
    <row r="675" spans="2:10" s="460" customFormat="1" ht="15">
      <c r="B675" s="464"/>
      <c r="C675" s="278" t="s">
        <v>1793</v>
      </c>
      <c r="D675" s="172"/>
      <c r="E675" s="278"/>
      <c r="F675" s="476">
        <v>3</v>
      </c>
      <c r="G675" s="476">
        <v>3.54</v>
      </c>
      <c r="H675" s="476">
        <v>2.83</v>
      </c>
      <c r="I675" s="479" t="s">
        <v>1838</v>
      </c>
      <c r="J675" s="474">
        <f>ROUND(((F675+G675)*2*H675)-(2*0.8*2.1),2)</f>
        <v>33.659999999999997</v>
      </c>
    </row>
    <row r="676" spans="2:10" s="460" customFormat="1" ht="15">
      <c r="B676" s="464"/>
      <c r="C676" s="278"/>
      <c r="D676" s="172"/>
      <c r="E676" s="278">
        <v>4</v>
      </c>
      <c r="F676" s="476">
        <v>0.7</v>
      </c>
      <c r="G676" s="476"/>
      <c r="H676" s="476">
        <v>2.83</v>
      </c>
      <c r="I676" s="479"/>
      <c r="J676" s="474">
        <f>ROUND(E676*F676*H676,2)</f>
        <v>7.92</v>
      </c>
    </row>
    <row r="677" spans="2:10" s="460" customFormat="1" ht="15">
      <c r="B677" s="464"/>
      <c r="C677" s="278" t="s">
        <v>1792</v>
      </c>
      <c r="D677" s="172"/>
      <c r="E677" s="278"/>
      <c r="F677" s="476">
        <v>3</v>
      </c>
      <c r="G677" s="476">
        <v>3.54</v>
      </c>
      <c r="H677" s="476">
        <v>2.83</v>
      </c>
      <c r="I677" s="479" t="s">
        <v>1838</v>
      </c>
      <c r="J677" s="474">
        <f>ROUND(((F677+G677)*2*H677)-(2*0.8*2.1),2)</f>
        <v>33.659999999999997</v>
      </c>
    </row>
    <row r="678" spans="2:10" s="460" customFormat="1" ht="15">
      <c r="B678" s="464"/>
      <c r="C678" s="278"/>
      <c r="D678" s="172"/>
      <c r="E678" s="278">
        <v>4</v>
      </c>
      <c r="F678" s="476">
        <v>0.7</v>
      </c>
      <c r="G678" s="476"/>
      <c r="H678" s="476">
        <v>2.83</v>
      </c>
      <c r="I678" s="479"/>
      <c r="J678" s="474">
        <f>ROUND(E678*F678*H678,2)</f>
        <v>7.92</v>
      </c>
    </row>
    <row r="679" spans="2:10" s="460" customFormat="1" ht="15">
      <c r="B679" s="464"/>
      <c r="C679" s="278" t="s">
        <v>1791</v>
      </c>
      <c r="D679" s="172"/>
      <c r="E679" s="278"/>
      <c r="F679" s="476">
        <v>30.86</v>
      </c>
      <c r="G679" s="476">
        <v>1</v>
      </c>
      <c r="H679" s="476">
        <v>2.83</v>
      </c>
      <c r="I679" s="479" t="s">
        <v>1839</v>
      </c>
      <c r="J679" s="474">
        <f>ROUND(((F679+G679)*2*H679)-(15*0.8*2.1),2)</f>
        <v>155.13</v>
      </c>
    </row>
    <row r="680" spans="2:10" s="460" customFormat="1" ht="15">
      <c r="B680" s="464"/>
      <c r="C680" s="278" t="s">
        <v>1790</v>
      </c>
      <c r="D680" s="172"/>
      <c r="E680" s="278"/>
      <c r="F680" s="476">
        <v>3.15</v>
      </c>
      <c r="G680" s="476">
        <v>3.46</v>
      </c>
      <c r="H680" s="476">
        <v>2.83</v>
      </c>
      <c r="I680" s="479" t="s">
        <v>1838</v>
      </c>
      <c r="J680" s="474">
        <f>ROUND(((F680+G680)*2*H680)-(2*0.8*2.1),2)</f>
        <v>34.049999999999997</v>
      </c>
    </row>
    <row r="681" spans="2:10" s="460" customFormat="1" ht="15">
      <c r="B681" s="464"/>
      <c r="C681" s="278"/>
      <c r="D681" s="172"/>
      <c r="E681" s="278">
        <v>4</v>
      </c>
      <c r="F681" s="476">
        <v>0.89</v>
      </c>
      <c r="G681" s="476"/>
      <c r="H681" s="476">
        <v>2.83</v>
      </c>
      <c r="I681" s="475"/>
      <c r="J681" s="474">
        <f>ROUND(E681*F681*H681,2)</f>
        <v>10.07</v>
      </c>
    </row>
    <row r="682" spans="2:10" s="460" customFormat="1" ht="15">
      <c r="B682" s="464"/>
      <c r="C682" s="278" t="s">
        <v>1789</v>
      </c>
      <c r="D682" s="172"/>
      <c r="E682" s="278"/>
      <c r="F682" s="476">
        <v>3</v>
      </c>
      <c r="G682" s="476">
        <v>3.46</v>
      </c>
      <c r="H682" s="476">
        <v>2.83</v>
      </c>
      <c r="I682" s="479" t="s">
        <v>1838</v>
      </c>
      <c r="J682" s="474">
        <f>ROUND(((F682+G682)*2*H682)-(2*0.8*2.1),2)</f>
        <v>33.200000000000003</v>
      </c>
    </row>
    <row r="683" spans="2:10" s="460" customFormat="1" ht="15">
      <c r="B683" s="464"/>
      <c r="C683" s="278"/>
      <c r="D683" s="172"/>
      <c r="E683" s="278">
        <v>2</v>
      </c>
      <c r="F683" s="476">
        <v>0.56000000000000005</v>
      </c>
      <c r="G683" s="476"/>
      <c r="H683" s="476">
        <v>2.83</v>
      </c>
      <c r="I683" s="475"/>
      <c r="J683" s="474">
        <f>ROUND(E683*F683*H683,2)</f>
        <v>3.17</v>
      </c>
    </row>
    <row r="684" spans="2:10" s="460" customFormat="1" ht="15">
      <c r="B684" s="464"/>
      <c r="C684" s="278"/>
      <c r="D684" s="172"/>
      <c r="E684" s="278">
        <v>2</v>
      </c>
      <c r="F684" s="476">
        <v>0.89</v>
      </c>
      <c r="G684" s="476"/>
      <c r="H684" s="476">
        <v>2.83</v>
      </c>
      <c r="I684" s="475"/>
      <c r="J684" s="474">
        <f>ROUND(E684*F684*H684,2)</f>
        <v>5.04</v>
      </c>
    </row>
    <row r="685" spans="2:10" s="460" customFormat="1" ht="15">
      <c r="B685" s="464"/>
      <c r="C685" s="278" t="s">
        <v>1788</v>
      </c>
      <c r="D685" s="172"/>
      <c r="E685" s="278"/>
      <c r="F685" s="476">
        <v>3</v>
      </c>
      <c r="G685" s="476">
        <v>3.46</v>
      </c>
      <c r="H685" s="476">
        <v>2.83</v>
      </c>
      <c r="I685" s="479" t="s">
        <v>1827</v>
      </c>
      <c r="J685" s="474">
        <f>ROUND(((F685+G685)*2*H685)-(1*0.8*2.1),2)</f>
        <v>34.880000000000003</v>
      </c>
    </row>
    <row r="686" spans="2:10" s="460" customFormat="1" ht="15">
      <c r="B686" s="464"/>
      <c r="C686" s="278"/>
      <c r="D686" s="172"/>
      <c r="E686" s="278">
        <v>2</v>
      </c>
      <c r="F686" s="476">
        <v>0.89</v>
      </c>
      <c r="G686" s="476"/>
      <c r="H686" s="476">
        <v>2.83</v>
      </c>
      <c r="I686" s="475"/>
      <c r="J686" s="474">
        <f>ROUND(E686*F686*H686,2)</f>
        <v>5.04</v>
      </c>
    </row>
    <row r="687" spans="2:10" s="460" customFormat="1" ht="15">
      <c r="B687" s="464"/>
      <c r="C687" s="278" t="s">
        <v>1787</v>
      </c>
      <c r="D687" s="172"/>
      <c r="E687" s="278"/>
      <c r="F687" s="476">
        <v>3</v>
      </c>
      <c r="G687" s="476">
        <v>3.46</v>
      </c>
      <c r="H687" s="476">
        <v>2.83</v>
      </c>
      <c r="I687" s="479" t="s">
        <v>1827</v>
      </c>
      <c r="J687" s="474">
        <f>ROUND(((F687+G687)*2*H687)-(1*0.8*2.1),2)</f>
        <v>34.880000000000003</v>
      </c>
    </row>
    <row r="688" spans="2:10" s="460" customFormat="1" ht="15">
      <c r="B688" s="464"/>
      <c r="C688" s="278"/>
      <c r="D688" s="172"/>
      <c r="E688" s="278">
        <v>2</v>
      </c>
      <c r="F688" s="476">
        <v>0.89</v>
      </c>
      <c r="G688" s="476"/>
      <c r="H688" s="476">
        <v>2.83</v>
      </c>
      <c r="I688" s="475"/>
      <c r="J688" s="474">
        <f>ROUND(E688*F688*H688,2)</f>
        <v>5.04</v>
      </c>
    </row>
    <row r="689" spans="2:10" s="460" customFormat="1" ht="15">
      <c r="B689" s="464"/>
      <c r="C689" s="278" t="s">
        <v>1786</v>
      </c>
      <c r="D689" s="172"/>
      <c r="E689" s="278"/>
      <c r="F689" s="476">
        <v>3</v>
      </c>
      <c r="G689" s="476">
        <v>3.46</v>
      </c>
      <c r="H689" s="476">
        <v>2.83</v>
      </c>
      <c r="I689" s="479" t="s">
        <v>1838</v>
      </c>
      <c r="J689" s="474">
        <f>ROUND(((F689+G689)*2*H689)-(2*0.8*2.1),2)</f>
        <v>33.200000000000003</v>
      </c>
    </row>
    <row r="690" spans="2:10" s="460" customFormat="1" ht="15">
      <c r="B690" s="464"/>
      <c r="C690" s="278"/>
      <c r="D690" s="172"/>
      <c r="E690" s="278">
        <v>4</v>
      </c>
      <c r="F690" s="476">
        <v>0.89</v>
      </c>
      <c r="G690" s="476"/>
      <c r="H690" s="476">
        <v>2.83</v>
      </c>
      <c r="I690" s="475"/>
      <c r="J690" s="474">
        <f>ROUND(E690*F690*H690,2)</f>
        <v>10.07</v>
      </c>
    </row>
    <row r="691" spans="2:10" s="460" customFormat="1" ht="15">
      <c r="B691" s="464"/>
      <c r="C691" s="278" t="s">
        <v>1785</v>
      </c>
      <c r="D691" s="172"/>
      <c r="E691" s="278"/>
      <c r="F691" s="476">
        <v>3</v>
      </c>
      <c r="G691" s="476">
        <v>3.46</v>
      </c>
      <c r="H691" s="476">
        <v>2.83</v>
      </c>
      <c r="I691" s="479" t="s">
        <v>1838</v>
      </c>
      <c r="J691" s="474">
        <f>ROUND(((F691+G691)*2*H691)-(2*0.8*2.1),2)</f>
        <v>33.200000000000003</v>
      </c>
    </row>
    <row r="692" spans="2:10" s="460" customFormat="1" ht="15">
      <c r="B692" s="464"/>
      <c r="C692" s="278"/>
      <c r="D692" s="172"/>
      <c r="E692" s="278">
        <v>2</v>
      </c>
      <c r="F692" s="476">
        <v>0.56000000000000005</v>
      </c>
      <c r="G692" s="476"/>
      <c r="H692" s="476">
        <v>2.83</v>
      </c>
      <c r="I692" s="475"/>
      <c r="J692" s="474">
        <f>ROUND(E692*F692*H692,2)</f>
        <v>3.17</v>
      </c>
    </row>
    <row r="693" spans="2:10" s="460" customFormat="1" ht="15">
      <c r="B693" s="464"/>
      <c r="C693" s="278"/>
      <c r="D693" s="172"/>
      <c r="E693" s="278">
        <v>2</v>
      </c>
      <c r="F693" s="476">
        <v>0.89</v>
      </c>
      <c r="G693" s="476"/>
      <c r="H693" s="476">
        <v>2.83</v>
      </c>
      <c r="I693" s="475"/>
      <c r="J693" s="474">
        <f>ROUND(E693*F693*H693,2)</f>
        <v>5.04</v>
      </c>
    </row>
    <row r="694" spans="2:10" s="460" customFormat="1" ht="15">
      <c r="B694" s="464"/>
      <c r="C694" s="278" t="s">
        <v>1784</v>
      </c>
      <c r="D694" s="172"/>
      <c r="E694" s="278"/>
      <c r="F694" s="476">
        <v>3</v>
      </c>
      <c r="G694" s="476">
        <v>3.46</v>
      </c>
      <c r="H694" s="476">
        <v>2.83</v>
      </c>
      <c r="I694" s="479" t="s">
        <v>1838</v>
      </c>
      <c r="J694" s="474">
        <f>ROUND(((F694+G694)*2*H694)-(2*0.8*2.1),2)</f>
        <v>33.200000000000003</v>
      </c>
    </row>
    <row r="695" spans="2:10" s="460" customFormat="1" ht="15">
      <c r="B695" s="464"/>
      <c r="C695" s="278"/>
      <c r="D695" s="172"/>
      <c r="E695" s="278">
        <v>4</v>
      </c>
      <c r="F695" s="476">
        <v>0.89</v>
      </c>
      <c r="G695" s="476"/>
      <c r="H695" s="476">
        <v>2.83</v>
      </c>
      <c r="I695" s="475"/>
      <c r="J695" s="474">
        <f>ROUND(E695*F695*H695,2)</f>
        <v>10.07</v>
      </c>
    </row>
    <row r="696" spans="2:10" s="460" customFormat="1" ht="15">
      <c r="B696" s="464"/>
      <c r="C696" s="278" t="s">
        <v>1783</v>
      </c>
      <c r="D696" s="172"/>
      <c r="E696" s="278"/>
      <c r="F696" s="476">
        <v>3.01</v>
      </c>
      <c r="G696" s="476">
        <v>3.46</v>
      </c>
      <c r="H696" s="476">
        <v>2.83</v>
      </c>
      <c r="I696" s="479" t="s">
        <v>1827</v>
      </c>
      <c r="J696" s="474">
        <f>ROUND(((F696+G696)*2*H696)-(1*0.8*2.1),2)</f>
        <v>34.94</v>
      </c>
    </row>
    <row r="697" spans="2:10" s="460" customFormat="1" ht="15">
      <c r="B697" s="464"/>
      <c r="C697" s="278"/>
      <c r="D697" s="172"/>
      <c r="E697" s="278">
        <v>2</v>
      </c>
      <c r="F697" s="476">
        <v>0.56000000000000005</v>
      </c>
      <c r="G697" s="476"/>
      <c r="H697" s="476">
        <v>2.83</v>
      </c>
      <c r="I697" s="475"/>
      <c r="J697" s="474">
        <f>ROUND(E697*F697*H697,2)</f>
        <v>3.17</v>
      </c>
    </row>
    <row r="698" spans="2:10" s="460" customFormat="1" ht="15">
      <c r="B698" s="464"/>
      <c r="C698" s="278" t="s">
        <v>1782</v>
      </c>
      <c r="D698" s="172"/>
      <c r="E698" s="278"/>
      <c r="F698" s="476">
        <v>28.62</v>
      </c>
      <c r="G698" s="476">
        <v>2.27</v>
      </c>
      <c r="H698" s="476">
        <v>2.83</v>
      </c>
      <c r="I698" s="479" t="s">
        <v>1837</v>
      </c>
      <c r="J698" s="474">
        <f>ROUND(((F698+G698)*2*H698)-(13*0.8*2.1)-(2.27*2.1),2)</f>
        <v>148.22999999999999</v>
      </c>
    </row>
    <row r="699" spans="2:10" s="460" customFormat="1" ht="15">
      <c r="B699" s="464"/>
      <c r="C699" s="278" t="s">
        <v>1781</v>
      </c>
      <c r="D699" s="172"/>
      <c r="E699" s="278"/>
      <c r="F699" s="476">
        <v>5.52</v>
      </c>
      <c r="G699" s="476"/>
      <c r="H699" s="476">
        <v>2.83</v>
      </c>
      <c r="I699" s="479" t="s">
        <v>1836</v>
      </c>
      <c r="J699" s="474">
        <f>ROUND((F699*H699)-(2*0.8*2.1),2)</f>
        <v>12.26</v>
      </c>
    </row>
    <row r="700" spans="2:10" s="460" customFormat="1" ht="15">
      <c r="B700" s="464"/>
      <c r="C700" s="278"/>
      <c r="D700" s="172"/>
      <c r="E700" s="278"/>
      <c r="F700" s="476">
        <v>3.29</v>
      </c>
      <c r="G700" s="476"/>
      <c r="H700" s="476">
        <v>2.83</v>
      </c>
      <c r="I700" s="475"/>
      <c r="J700" s="474">
        <f>ROUND(F700*H700,2)</f>
        <v>9.31</v>
      </c>
    </row>
    <row r="701" spans="2:10" s="460" customFormat="1" ht="15">
      <c r="B701" s="464"/>
      <c r="C701" s="278"/>
      <c r="D701" s="172"/>
      <c r="E701" s="278"/>
      <c r="F701" s="476">
        <v>10.85</v>
      </c>
      <c r="G701" s="476"/>
      <c r="H701" s="476">
        <v>2.83</v>
      </c>
      <c r="I701" s="479" t="s">
        <v>1835</v>
      </c>
      <c r="J701" s="474">
        <f>ROUND((F701*H701)-(2*0.8*2.1)-(1*0.7*2.1),2)</f>
        <v>25.88</v>
      </c>
    </row>
    <row r="702" spans="2:10" s="460" customFormat="1" ht="15">
      <c r="B702" s="464"/>
      <c r="C702" s="278"/>
      <c r="D702" s="172"/>
      <c r="E702" s="278"/>
      <c r="F702" s="476">
        <v>2.11</v>
      </c>
      <c r="G702" s="476"/>
      <c r="H702" s="476">
        <v>2.83</v>
      </c>
      <c r="I702" s="479" t="s">
        <v>1816</v>
      </c>
      <c r="J702" s="474">
        <f>ROUND((F702*H702)-(1*1.745*2.1),2)</f>
        <v>2.31</v>
      </c>
    </row>
    <row r="703" spans="2:10" s="460" customFormat="1" ht="15">
      <c r="B703" s="464"/>
      <c r="C703" s="278"/>
      <c r="D703" s="172"/>
      <c r="E703" s="278"/>
      <c r="F703" s="476">
        <v>4.55</v>
      </c>
      <c r="G703" s="476"/>
      <c r="H703" s="476">
        <v>2.83</v>
      </c>
      <c r="I703" s="475"/>
      <c r="J703" s="474">
        <f>ROUND(F703*H703,2)</f>
        <v>12.88</v>
      </c>
    </row>
    <row r="704" spans="2:10" s="460" customFormat="1" ht="15">
      <c r="B704" s="464"/>
      <c r="C704" s="278"/>
      <c r="D704" s="172"/>
      <c r="E704" s="278"/>
      <c r="F704" s="476">
        <v>13.53</v>
      </c>
      <c r="G704" s="476"/>
      <c r="H704" s="476">
        <v>2.83</v>
      </c>
      <c r="I704" s="479" t="s">
        <v>1834</v>
      </c>
      <c r="J704" s="474">
        <f>ROUND((F704*H704)-(2*0.7*2.1)-(1*1.74*2.1),2)</f>
        <v>31.7</v>
      </c>
    </row>
    <row r="705" spans="2:10" s="460" customFormat="1" ht="15">
      <c r="B705" s="464"/>
      <c r="C705" s="278"/>
      <c r="D705" s="172"/>
      <c r="E705" s="278"/>
      <c r="F705" s="476">
        <v>8.6</v>
      </c>
      <c r="G705" s="476"/>
      <c r="H705" s="476">
        <v>2.83</v>
      </c>
      <c r="I705" s="479"/>
      <c r="J705" s="474">
        <f>ROUND((F705*H705),2)</f>
        <v>24.34</v>
      </c>
    </row>
    <row r="706" spans="2:10" s="460" customFormat="1" ht="15">
      <c r="B706" s="464"/>
      <c r="C706" s="278"/>
      <c r="D706" s="172"/>
      <c r="E706" s="278"/>
      <c r="F706" s="476">
        <v>7</v>
      </c>
      <c r="G706" s="476"/>
      <c r="H706" s="476">
        <v>2.83</v>
      </c>
      <c r="I706" s="479" t="s">
        <v>1833</v>
      </c>
      <c r="J706" s="474">
        <f>ROUND((F706*H706)-(1*0.9*2.1),2)</f>
        <v>17.920000000000002</v>
      </c>
    </row>
    <row r="707" spans="2:10" s="460" customFormat="1" ht="15">
      <c r="B707" s="464"/>
      <c r="C707" s="278"/>
      <c r="D707" s="172"/>
      <c r="E707" s="278"/>
      <c r="F707" s="476">
        <v>2.39</v>
      </c>
      <c r="G707" s="476"/>
      <c r="H707" s="476">
        <v>2.83</v>
      </c>
      <c r="I707" s="479"/>
      <c r="J707" s="474">
        <f>ROUND((F707*H707),2)</f>
        <v>6.76</v>
      </c>
    </row>
    <row r="708" spans="2:10" s="460" customFormat="1" ht="15">
      <c r="B708" s="464"/>
      <c r="C708" s="278" t="s">
        <v>1832</v>
      </c>
      <c r="D708" s="172"/>
      <c r="E708" s="278"/>
      <c r="F708" s="476">
        <f>1.91+0.1+0.13+0.4+0.35+0.46</f>
        <v>3.3499999999999996</v>
      </c>
      <c r="G708" s="476"/>
      <c r="H708" s="476">
        <v>2.83</v>
      </c>
      <c r="I708" s="479"/>
      <c r="J708" s="474">
        <f>ROUND((F708*H708),2)</f>
        <v>9.48</v>
      </c>
    </row>
    <row r="709" spans="2:10" s="460" customFormat="1" ht="15">
      <c r="B709" s="464"/>
      <c r="C709" s="278" t="s">
        <v>1780</v>
      </c>
      <c r="D709" s="172"/>
      <c r="E709" s="278"/>
      <c r="F709" s="476">
        <v>2.92</v>
      </c>
      <c r="G709" s="476">
        <v>2.1</v>
      </c>
      <c r="H709" s="476">
        <v>2.83</v>
      </c>
      <c r="I709" s="479" t="s">
        <v>1827</v>
      </c>
      <c r="J709" s="474">
        <f>ROUND((F709+G709)*2*H709-(1*0.8*2.1),2)</f>
        <v>26.73</v>
      </c>
    </row>
    <row r="710" spans="2:10" s="460" customFormat="1" ht="15">
      <c r="B710" s="464"/>
      <c r="C710" s="278" t="s">
        <v>1779</v>
      </c>
      <c r="D710" s="172"/>
      <c r="E710" s="278"/>
      <c r="F710" s="476">
        <v>2.92</v>
      </c>
      <c r="G710" s="476">
        <v>2.92</v>
      </c>
      <c r="H710" s="476">
        <v>2.83</v>
      </c>
      <c r="I710" s="479" t="s">
        <v>1827</v>
      </c>
      <c r="J710" s="474">
        <f>ROUND((F710+G710)*2*H710-(1*0.8*2.1),2)</f>
        <v>31.37</v>
      </c>
    </row>
    <row r="711" spans="2:10" s="460" customFormat="1" ht="15">
      <c r="B711" s="464"/>
      <c r="C711" s="278" t="s">
        <v>1778</v>
      </c>
      <c r="D711" s="172"/>
      <c r="E711" s="278"/>
      <c r="F711" s="476">
        <v>2.92</v>
      </c>
      <c r="G711" s="476">
        <v>5.38</v>
      </c>
      <c r="H711" s="476">
        <v>2.83</v>
      </c>
      <c r="I711" s="479" t="s">
        <v>1827</v>
      </c>
      <c r="J711" s="474">
        <f>ROUND((F711+G711)*2*H711-(1*0.8*2.1),2)</f>
        <v>45.3</v>
      </c>
    </row>
    <row r="712" spans="2:10" s="460" customFormat="1" ht="15">
      <c r="B712" s="464"/>
      <c r="C712" s="278" t="s">
        <v>1777</v>
      </c>
      <c r="D712" s="172"/>
      <c r="E712" s="278"/>
      <c r="F712" s="476">
        <v>3</v>
      </c>
      <c r="G712" s="476">
        <v>5.15</v>
      </c>
      <c r="H712" s="476">
        <v>2.83</v>
      </c>
      <c r="I712" s="479" t="s">
        <v>1827</v>
      </c>
      <c r="J712" s="474">
        <f>ROUND((F712+G712)*2*H712-(1*0.8*2.1),2)</f>
        <v>44.45</v>
      </c>
    </row>
    <row r="713" spans="2:10" s="460" customFormat="1" ht="15">
      <c r="B713" s="464"/>
      <c r="C713" s="278" t="s">
        <v>1776</v>
      </c>
      <c r="D713" s="172"/>
      <c r="E713" s="278"/>
      <c r="F713" s="476">
        <v>1.1599999999999999</v>
      </c>
      <c r="G713" s="476">
        <v>1.85</v>
      </c>
      <c r="H713" s="476">
        <v>2.83</v>
      </c>
      <c r="I713" s="479" t="s">
        <v>1831</v>
      </c>
      <c r="J713" s="474">
        <f>ROUND((F713+G713)*2*H713-(1*0.6*2.1),2)</f>
        <v>15.78</v>
      </c>
    </row>
    <row r="714" spans="2:10" s="460" customFormat="1" ht="15">
      <c r="B714" s="464"/>
      <c r="C714" s="278" t="s">
        <v>1774</v>
      </c>
      <c r="D714" s="172"/>
      <c r="E714" s="278"/>
      <c r="F714" s="476">
        <v>3</v>
      </c>
      <c r="G714" s="476">
        <v>5.21</v>
      </c>
      <c r="H714" s="476">
        <v>2.83</v>
      </c>
      <c r="I714" s="479" t="s">
        <v>1830</v>
      </c>
      <c r="J714" s="474">
        <f>ROUND((F714+G714)*2*H714-(2*1*2.1)-(3*0.8*2.1),2)</f>
        <v>37.229999999999997</v>
      </c>
    </row>
    <row r="715" spans="2:10" s="460" customFormat="1" ht="30">
      <c r="B715" s="464"/>
      <c r="C715" s="278" t="s">
        <v>1829</v>
      </c>
      <c r="D715" s="172"/>
      <c r="E715" s="278"/>
      <c r="F715" s="476">
        <v>3.79</v>
      </c>
      <c r="G715" s="476">
        <v>1</v>
      </c>
      <c r="H715" s="476">
        <v>2.83</v>
      </c>
      <c r="I715" s="481" t="s">
        <v>1828</v>
      </c>
      <c r="J715" s="474">
        <f>ROUND((F715+G715)*2*H715-(3*0.6*2.1)-(2*0.8*2.1)-(1*1*2.1),2)</f>
        <v>17.87</v>
      </c>
    </row>
    <row r="716" spans="2:10" s="460" customFormat="1" ht="15">
      <c r="B716" s="464"/>
      <c r="C716" s="278" t="s">
        <v>1773</v>
      </c>
      <c r="D716" s="172"/>
      <c r="E716" s="278"/>
      <c r="F716" s="476">
        <v>5.15</v>
      </c>
      <c r="G716" s="476">
        <v>5.15</v>
      </c>
      <c r="H716" s="476">
        <v>2.83</v>
      </c>
      <c r="I716" s="479" t="s">
        <v>1827</v>
      </c>
      <c r="J716" s="474">
        <f>ROUND((F716+G716)*2*H716-(1*0.8*2.1),2)</f>
        <v>56.62</v>
      </c>
    </row>
    <row r="717" spans="2:10" s="460" customFormat="1" ht="15">
      <c r="B717" s="464"/>
      <c r="C717" s="278" t="s">
        <v>1772</v>
      </c>
      <c r="D717" s="172"/>
      <c r="E717" s="278"/>
      <c r="F717" s="476">
        <v>2.25</v>
      </c>
      <c r="G717" s="476">
        <v>5.15</v>
      </c>
      <c r="H717" s="476">
        <v>2.83</v>
      </c>
      <c r="I717" s="479" t="s">
        <v>1827</v>
      </c>
      <c r="J717" s="474">
        <f>ROUND((F717+G717)*2*H717-(1*0.8*2.1),2)</f>
        <v>40.200000000000003</v>
      </c>
    </row>
    <row r="718" spans="2:10" s="460" customFormat="1" ht="15">
      <c r="B718" s="464"/>
      <c r="C718" s="278" t="s">
        <v>1771</v>
      </c>
      <c r="D718" s="172"/>
      <c r="E718" s="278"/>
      <c r="F718" s="476">
        <v>3.07</v>
      </c>
      <c r="G718" s="476">
        <v>5.15</v>
      </c>
      <c r="H718" s="476">
        <v>2.83</v>
      </c>
      <c r="I718" s="479" t="s">
        <v>1826</v>
      </c>
      <c r="J718" s="474">
        <f>ROUND((F718+G718)*2*H718-(1*0.8*2.1)-(1*0.6*2.1),2)</f>
        <v>43.59</v>
      </c>
    </row>
    <row r="719" spans="2:10" s="460" customFormat="1" ht="15">
      <c r="B719" s="464"/>
      <c r="C719" s="278" t="s">
        <v>1825</v>
      </c>
      <c r="D719" s="172"/>
      <c r="E719" s="278"/>
      <c r="F719" s="476">
        <v>5.15</v>
      </c>
      <c r="G719" s="476"/>
      <c r="H719" s="476">
        <v>2.83</v>
      </c>
      <c r="I719" s="479"/>
      <c r="J719" s="474">
        <f>ROUND((F719*H719),2)</f>
        <v>14.57</v>
      </c>
    </row>
    <row r="720" spans="2:10" s="460" customFormat="1" ht="15">
      <c r="B720" s="464"/>
      <c r="C720" s="278" t="s">
        <v>1743</v>
      </c>
      <c r="D720" s="172"/>
      <c r="E720" s="278"/>
      <c r="F720" s="476">
        <v>12.65</v>
      </c>
      <c r="G720" s="476"/>
      <c r="H720" s="476">
        <v>2.83</v>
      </c>
      <c r="I720" s="479" t="s">
        <v>1824</v>
      </c>
      <c r="J720" s="474">
        <f>ROUND((F720*H720)-(1*0.8*0.9)-(1*0.9*2.1),2)</f>
        <v>33.19</v>
      </c>
    </row>
    <row r="721" spans="2:10" s="460" customFormat="1" ht="15">
      <c r="B721" s="464"/>
      <c r="C721" s="278"/>
      <c r="D721" s="172"/>
      <c r="E721" s="278"/>
      <c r="F721" s="476">
        <v>5.15</v>
      </c>
      <c r="G721" s="476"/>
      <c r="H721" s="476">
        <v>2.83</v>
      </c>
      <c r="I721" s="479" t="s">
        <v>1823</v>
      </c>
      <c r="J721" s="474">
        <f>ROUND((F721*H721)-(2*0.8*2.1),2)</f>
        <v>11.21</v>
      </c>
    </row>
    <row r="722" spans="2:10" s="460" customFormat="1" ht="15">
      <c r="B722" s="464"/>
      <c r="C722" s="278"/>
      <c r="D722" s="172"/>
      <c r="E722" s="278"/>
      <c r="F722" s="476">
        <v>17.55</v>
      </c>
      <c r="G722" s="476"/>
      <c r="H722" s="476">
        <v>2.83</v>
      </c>
      <c r="I722" s="479"/>
      <c r="J722" s="474">
        <f>ROUND((F722*H722),2)</f>
        <v>49.67</v>
      </c>
    </row>
    <row r="723" spans="2:10" s="460" customFormat="1" ht="30">
      <c r="B723" s="464"/>
      <c r="C723" s="278" t="s">
        <v>1762</v>
      </c>
      <c r="D723" s="172"/>
      <c r="E723" s="278"/>
      <c r="F723" s="476">
        <v>21.44</v>
      </c>
      <c r="G723" s="476">
        <v>2.54</v>
      </c>
      <c r="H723" s="476">
        <v>2.83</v>
      </c>
      <c r="I723" s="481" t="s">
        <v>1822</v>
      </c>
      <c r="J723" s="474">
        <f>ROUND((F723+G723)*2*H723-(7*0.8*2.1)-(2*0.9*2.1)-(1*2.54*H723),2)</f>
        <v>113</v>
      </c>
    </row>
    <row r="724" spans="2:10" s="460" customFormat="1" ht="15">
      <c r="B724" s="464"/>
      <c r="C724" s="278" t="s">
        <v>1821</v>
      </c>
      <c r="D724" s="172"/>
      <c r="E724" s="278"/>
      <c r="F724" s="476">
        <v>46.25</v>
      </c>
      <c r="G724" s="476"/>
      <c r="H724" s="476">
        <v>2.83</v>
      </c>
      <c r="I724" s="479" t="s">
        <v>1820</v>
      </c>
      <c r="J724" s="474">
        <f>ROUND((F724*H724)-(2*0.9*2.1)-(1*0.8*2.1),2)</f>
        <v>125.43</v>
      </c>
    </row>
    <row r="725" spans="2:10" s="460" customFormat="1" ht="15">
      <c r="B725" s="464"/>
      <c r="C725" s="278" t="s">
        <v>1819</v>
      </c>
      <c r="D725" s="172"/>
      <c r="E725" s="278"/>
      <c r="F725" s="476">
        <v>46.25</v>
      </c>
      <c r="G725" s="476"/>
      <c r="H725" s="476">
        <v>2.83</v>
      </c>
      <c r="I725" s="479" t="s">
        <v>1818</v>
      </c>
      <c r="J725" s="474">
        <f>ROUND((F725*H725)-(1*2.95*2.1),2)</f>
        <v>124.69</v>
      </c>
    </row>
    <row r="726" spans="2:10" s="460" customFormat="1" ht="15">
      <c r="B726" s="464"/>
      <c r="C726" s="278" t="s">
        <v>1817</v>
      </c>
      <c r="D726" s="172"/>
      <c r="E726" s="278"/>
      <c r="F726" s="476">
        <v>19.25</v>
      </c>
      <c r="G726" s="476"/>
      <c r="H726" s="476">
        <v>2.83</v>
      </c>
      <c r="I726" s="479" t="s">
        <v>1816</v>
      </c>
      <c r="J726" s="474">
        <f>ROUND((F726*H726)-(1*1.745*2.1),2)</f>
        <v>50.81</v>
      </c>
    </row>
    <row r="727" spans="2:10" s="460" customFormat="1" ht="15">
      <c r="B727" s="464"/>
      <c r="C727" s="278" t="s">
        <v>1815</v>
      </c>
      <c r="D727" s="172"/>
      <c r="E727" s="278"/>
      <c r="F727" s="476">
        <v>19.25</v>
      </c>
      <c r="G727" s="476"/>
      <c r="H727" s="476">
        <v>2.83</v>
      </c>
      <c r="I727" s="479" t="s">
        <v>1814</v>
      </c>
      <c r="J727" s="474">
        <f>ROUND((F727*H727)-(1*1*2.1),2)</f>
        <v>52.38</v>
      </c>
    </row>
    <row r="728" spans="2:10" s="460" customFormat="1" ht="15">
      <c r="B728" s="464"/>
      <c r="C728" s="278" t="s">
        <v>1813</v>
      </c>
      <c r="D728" s="172"/>
      <c r="E728" s="278"/>
      <c r="F728" s="476"/>
      <c r="G728" s="476"/>
      <c r="H728" s="476"/>
      <c r="I728" s="479"/>
      <c r="J728" s="474">
        <f>J423*2</f>
        <v>187.53480000000002</v>
      </c>
    </row>
    <row r="729" spans="2:10" s="460" customFormat="1" ht="15">
      <c r="B729" s="464"/>
      <c r="C729" s="278" t="s">
        <v>1812</v>
      </c>
      <c r="D729" s="172"/>
      <c r="E729" s="278"/>
      <c r="F729" s="476">
        <f>0.45+0.45+0.5+0.1+0.5+0.45+0.45</f>
        <v>2.9000000000000004</v>
      </c>
      <c r="G729" s="476">
        <v>10.6</v>
      </c>
      <c r="H729" s="476"/>
      <c r="I729" s="479"/>
      <c r="J729" s="474">
        <f>F729*G729</f>
        <v>30.740000000000002</v>
      </c>
    </row>
    <row r="730" spans="2:10" s="460" customFormat="1" ht="15">
      <c r="B730" s="464"/>
      <c r="C730" s="278" t="s">
        <v>1811</v>
      </c>
      <c r="D730" s="172"/>
      <c r="E730" s="278"/>
      <c r="F730" s="476">
        <f>0.45+0.5</f>
        <v>0.95</v>
      </c>
      <c r="G730" s="476">
        <v>26.8</v>
      </c>
      <c r="H730" s="476"/>
      <c r="I730" s="479"/>
      <c r="J730" s="474">
        <f>F730*G730</f>
        <v>25.46</v>
      </c>
    </row>
    <row r="731" spans="2:10" s="460" customFormat="1" ht="15">
      <c r="B731" s="464"/>
      <c r="C731" s="278"/>
      <c r="D731" s="172"/>
      <c r="E731" s="278"/>
      <c r="F731" s="476"/>
      <c r="G731" s="476"/>
      <c r="H731" s="476"/>
      <c r="I731" s="479"/>
      <c r="J731" s="474"/>
    </row>
    <row r="732" spans="2:10" s="460" customFormat="1" ht="15">
      <c r="B732" s="464"/>
      <c r="C732" s="278" t="s">
        <v>1810</v>
      </c>
      <c r="D732" s="172" t="s">
        <v>1805</v>
      </c>
      <c r="E732" s="278">
        <v>-40</v>
      </c>
      <c r="F732" s="480">
        <v>2</v>
      </c>
      <c r="G732" s="476">
        <v>0.6</v>
      </c>
      <c r="H732" s="476">
        <v>0.65</v>
      </c>
      <c r="I732" s="479"/>
      <c r="J732" s="474">
        <f t="shared" ref="J732:J739" si="14">E732*F732*G732*H732</f>
        <v>-31.200000000000003</v>
      </c>
    </row>
    <row r="733" spans="2:10" s="460" customFormat="1" ht="15">
      <c r="B733" s="464"/>
      <c r="C733" s="278"/>
      <c r="D733" s="172" t="s">
        <v>1804</v>
      </c>
      <c r="E733" s="278">
        <v>-6</v>
      </c>
      <c r="F733" s="480">
        <v>2</v>
      </c>
      <c r="G733" s="476">
        <v>0.9</v>
      </c>
      <c r="H733" s="476">
        <v>0.6</v>
      </c>
      <c r="I733" s="479"/>
      <c r="J733" s="474">
        <f t="shared" si="14"/>
        <v>-6.48</v>
      </c>
    </row>
    <row r="734" spans="2:10" s="460" customFormat="1" ht="15">
      <c r="B734" s="464"/>
      <c r="C734" s="278"/>
      <c r="D734" s="172" t="s">
        <v>1809</v>
      </c>
      <c r="E734" s="278">
        <v>-8</v>
      </c>
      <c r="F734" s="480">
        <v>2</v>
      </c>
      <c r="G734" s="476">
        <v>1.75</v>
      </c>
      <c r="H734" s="476">
        <v>1</v>
      </c>
      <c r="I734" s="479"/>
      <c r="J734" s="474">
        <f t="shared" si="14"/>
        <v>-28</v>
      </c>
    </row>
    <row r="735" spans="2:10" s="460" customFormat="1" ht="15">
      <c r="B735" s="464"/>
      <c r="C735" s="278"/>
      <c r="D735" s="172" t="s">
        <v>1808</v>
      </c>
      <c r="E735" s="278">
        <v>-6</v>
      </c>
      <c r="F735" s="480">
        <v>2</v>
      </c>
      <c r="G735" s="476">
        <v>1.8</v>
      </c>
      <c r="H735" s="476">
        <v>1</v>
      </c>
      <c r="I735" s="479"/>
      <c r="J735" s="474">
        <f t="shared" si="14"/>
        <v>-21.6</v>
      </c>
    </row>
    <row r="736" spans="2:10" s="460" customFormat="1" ht="15">
      <c r="B736" s="464"/>
      <c r="C736" s="278"/>
      <c r="D736" s="172" t="s">
        <v>1807</v>
      </c>
      <c r="E736" s="278">
        <v>-4</v>
      </c>
      <c r="F736" s="480">
        <v>2</v>
      </c>
      <c r="G736" s="476">
        <v>1.2</v>
      </c>
      <c r="H736" s="476">
        <v>1.1000000000000001</v>
      </c>
      <c r="I736" s="479"/>
      <c r="J736" s="474">
        <f t="shared" si="14"/>
        <v>-10.56</v>
      </c>
    </row>
    <row r="737" spans="2:10" s="460" customFormat="1" ht="15">
      <c r="B737" s="464"/>
      <c r="C737" s="278"/>
      <c r="D737" s="172" t="s">
        <v>1806</v>
      </c>
      <c r="E737" s="278">
        <v>-8</v>
      </c>
      <c r="F737" s="480">
        <v>2</v>
      </c>
      <c r="G737" s="476">
        <v>2.8</v>
      </c>
      <c r="H737" s="476">
        <v>1.1000000000000001</v>
      </c>
      <c r="I737" s="479"/>
      <c r="J737" s="474">
        <f t="shared" si="14"/>
        <v>-49.28</v>
      </c>
    </row>
    <row r="738" spans="2:10" s="460" customFormat="1" ht="15">
      <c r="B738" s="464"/>
      <c r="C738" s="278"/>
      <c r="D738" s="172" t="s">
        <v>1805</v>
      </c>
      <c r="E738" s="278">
        <v>-12</v>
      </c>
      <c r="F738" s="480">
        <v>1</v>
      </c>
      <c r="G738" s="476">
        <v>0.6</v>
      </c>
      <c r="H738" s="476">
        <v>0.65</v>
      </c>
      <c r="I738" s="479" t="s">
        <v>1803</v>
      </c>
      <c r="J738" s="474">
        <f t="shared" si="14"/>
        <v>-4.68</v>
      </c>
    </row>
    <row r="739" spans="2:10" s="460" customFormat="1" ht="15">
      <c r="B739" s="464"/>
      <c r="C739" s="278"/>
      <c r="D739" s="172" t="s">
        <v>1804</v>
      </c>
      <c r="E739" s="278">
        <v>-2</v>
      </c>
      <c r="F739" s="480">
        <v>1</v>
      </c>
      <c r="G739" s="476">
        <v>0.9</v>
      </c>
      <c r="H739" s="476">
        <v>0.6</v>
      </c>
      <c r="I739" s="479" t="s">
        <v>1803</v>
      </c>
      <c r="J739" s="474">
        <f t="shared" si="14"/>
        <v>-1.08</v>
      </c>
    </row>
    <row r="740" spans="2:10" s="460" customFormat="1" ht="15">
      <c r="B740" s="464"/>
      <c r="C740" s="278"/>
      <c r="D740" s="172"/>
      <c r="E740" s="278"/>
      <c r="F740" s="476"/>
      <c r="G740" s="476"/>
      <c r="H740" s="476"/>
      <c r="I740" s="475"/>
      <c r="J740" s="474"/>
    </row>
    <row r="741" spans="2:10" s="460" customFormat="1" ht="15">
      <c r="B741" s="464" t="s">
        <v>647</v>
      </c>
      <c r="C741" s="368" t="s">
        <v>1802</v>
      </c>
      <c r="D741" s="289"/>
      <c r="E741" s="368"/>
      <c r="F741" s="478"/>
      <c r="G741" s="478"/>
      <c r="H741" s="478"/>
      <c r="I741" s="477"/>
      <c r="J741" s="469">
        <f>SUM(J742:J823)</f>
        <v>778.62469999999996</v>
      </c>
    </row>
    <row r="742" spans="2:10" s="460" customFormat="1" ht="15">
      <c r="B742" s="464"/>
      <c r="C742" s="278" t="s">
        <v>1801</v>
      </c>
      <c r="D742" s="172"/>
      <c r="E742" s="278"/>
      <c r="F742" s="476">
        <v>3</v>
      </c>
      <c r="G742" s="476">
        <f>2.5+0.15+1.61</f>
        <v>4.26</v>
      </c>
      <c r="H742" s="476"/>
      <c r="I742" s="475"/>
      <c r="J742" s="474">
        <f t="shared" ref="J742:J773" si="15">F742*G742</f>
        <v>12.78</v>
      </c>
    </row>
    <row r="743" spans="2:10" s="460" customFormat="1" ht="15">
      <c r="B743" s="464"/>
      <c r="C743" s="278" t="s">
        <v>1750</v>
      </c>
      <c r="D743" s="172"/>
      <c r="E743" s="278"/>
      <c r="F743" s="476">
        <v>1.93</v>
      </c>
      <c r="G743" s="476">
        <v>6.23</v>
      </c>
      <c r="H743" s="476"/>
      <c r="I743" s="475"/>
      <c r="J743" s="474">
        <f t="shared" si="15"/>
        <v>12.023900000000001</v>
      </c>
    </row>
    <row r="744" spans="2:10" s="460" customFormat="1" ht="15">
      <c r="B744" s="464"/>
      <c r="C744" s="278" t="s">
        <v>1749</v>
      </c>
      <c r="D744" s="172"/>
      <c r="E744" s="278"/>
      <c r="F744" s="476">
        <v>2.3199999999999998</v>
      </c>
      <c r="G744" s="476">
        <v>4.49</v>
      </c>
      <c r="H744" s="476"/>
      <c r="I744" s="475"/>
      <c r="J744" s="474">
        <f t="shared" si="15"/>
        <v>10.4168</v>
      </c>
    </row>
    <row r="745" spans="2:10" s="460" customFormat="1" ht="15">
      <c r="B745" s="464"/>
      <c r="C745" s="278" t="s">
        <v>1800</v>
      </c>
      <c r="D745" s="172"/>
      <c r="E745" s="278"/>
      <c r="F745" s="476">
        <v>1.59</v>
      </c>
      <c r="G745" s="476">
        <v>1.0900000000000001</v>
      </c>
      <c r="H745" s="476"/>
      <c r="I745" s="475"/>
      <c r="J745" s="474">
        <f t="shared" si="15"/>
        <v>1.7331000000000003</v>
      </c>
    </row>
    <row r="746" spans="2:10" s="460" customFormat="1" ht="15">
      <c r="B746" s="464"/>
      <c r="C746" s="278" t="s">
        <v>1799</v>
      </c>
      <c r="D746" s="172"/>
      <c r="E746" s="278"/>
      <c r="F746" s="476">
        <v>3</v>
      </c>
      <c r="G746" s="476">
        <v>1.59</v>
      </c>
      <c r="H746" s="476"/>
      <c r="I746" s="475"/>
      <c r="J746" s="474">
        <f t="shared" si="15"/>
        <v>4.7700000000000005</v>
      </c>
    </row>
    <row r="747" spans="2:10" s="460" customFormat="1" ht="15">
      <c r="B747" s="464"/>
      <c r="C747" s="278" t="s">
        <v>1798</v>
      </c>
      <c r="D747" s="172"/>
      <c r="E747" s="278"/>
      <c r="F747" s="476">
        <v>3</v>
      </c>
      <c r="G747" s="476">
        <v>2.54</v>
      </c>
      <c r="H747" s="476"/>
      <c r="I747" s="475"/>
      <c r="J747" s="474">
        <f t="shared" si="15"/>
        <v>7.62</v>
      </c>
    </row>
    <row r="748" spans="2:10" s="460" customFormat="1" ht="15">
      <c r="B748" s="464"/>
      <c r="C748" s="278"/>
      <c r="D748" s="172"/>
      <c r="E748" s="278"/>
      <c r="F748" s="476">
        <v>1.72</v>
      </c>
      <c r="G748" s="476">
        <v>1</v>
      </c>
      <c r="H748" s="476"/>
      <c r="I748" s="475"/>
      <c r="J748" s="474">
        <f t="shared" si="15"/>
        <v>1.72</v>
      </c>
    </row>
    <row r="749" spans="2:10" s="460" customFormat="1" ht="15">
      <c r="B749" s="464"/>
      <c r="C749" s="278"/>
      <c r="D749" s="172"/>
      <c r="E749" s="278"/>
      <c r="F749" s="476">
        <v>1.72</v>
      </c>
      <c r="G749" s="476">
        <v>1.39</v>
      </c>
      <c r="H749" s="476"/>
      <c r="I749" s="475"/>
      <c r="J749" s="474">
        <f t="shared" si="15"/>
        <v>2.3907999999999996</v>
      </c>
    </row>
    <row r="750" spans="2:10" s="460" customFormat="1" ht="15">
      <c r="B750" s="464"/>
      <c r="C750" s="278" t="s">
        <v>1797</v>
      </c>
      <c r="D750" s="172"/>
      <c r="E750" s="278"/>
      <c r="F750" s="476">
        <v>1.8</v>
      </c>
      <c r="G750" s="476">
        <v>3.07</v>
      </c>
      <c r="H750" s="476"/>
      <c r="I750" s="475"/>
      <c r="J750" s="474">
        <f t="shared" si="15"/>
        <v>5.5259999999999998</v>
      </c>
    </row>
    <row r="751" spans="2:10" s="460" customFormat="1" ht="15">
      <c r="B751" s="464"/>
      <c r="C751" s="278" t="s">
        <v>1796</v>
      </c>
      <c r="D751" s="172"/>
      <c r="E751" s="278"/>
      <c r="F751" s="476">
        <v>1.8</v>
      </c>
      <c r="G751" s="476">
        <v>3.23</v>
      </c>
      <c r="H751" s="476"/>
      <c r="I751" s="475"/>
      <c r="J751" s="474">
        <f t="shared" si="15"/>
        <v>5.8140000000000001</v>
      </c>
    </row>
    <row r="752" spans="2:10" s="460" customFormat="1" ht="15">
      <c r="B752" s="464"/>
      <c r="C752" s="278" t="s">
        <v>1795</v>
      </c>
      <c r="D752" s="172"/>
      <c r="E752" s="278"/>
      <c r="F752" s="476">
        <v>1.59</v>
      </c>
      <c r="G752" s="476">
        <v>3.23</v>
      </c>
      <c r="H752" s="476"/>
      <c r="I752" s="475"/>
      <c r="J752" s="474">
        <f t="shared" si="15"/>
        <v>5.1356999999999999</v>
      </c>
    </row>
    <row r="753" spans="2:10" s="460" customFormat="1" ht="15">
      <c r="B753" s="464"/>
      <c r="C753" s="278"/>
      <c r="D753" s="172"/>
      <c r="E753" s="278"/>
      <c r="F753" s="476">
        <v>0.7</v>
      </c>
      <c r="G753" s="476">
        <v>0.74</v>
      </c>
      <c r="H753" s="476"/>
      <c r="I753" s="475"/>
      <c r="J753" s="474">
        <f t="shared" si="15"/>
        <v>0.51800000000000002</v>
      </c>
    </row>
    <row r="754" spans="2:10" s="460" customFormat="1" ht="15">
      <c r="B754" s="464"/>
      <c r="C754" s="278"/>
      <c r="D754" s="172"/>
      <c r="E754" s="278"/>
      <c r="F754" s="476">
        <v>0.7</v>
      </c>
      <c r="G754" s="476">
        <v>0.7</v>
      </c>
      <c r="H754" s="476"/>
      <c r="I754" s="475"/>
      <c r="J754" s="474">
        <f t="shared" si="15"/>
        <v>0.48999999999999994</v>
      </c>
    </row>
    <row r="755" spans="2:10" s="460" customFormat="1" ht="15">
      <c r="B755" s="464"/>
      <c r="C755" s="278" t="s">
        <v>1741</v>
      </c>
      <c r="D755" s="172"/>
      <c r="E755" s="278"/>
      <c r="F755" s="476">
        <v>2.94</v>
      </c>
      <c r="G755" s="476">
        <v>3.54</v>
      </c>
      <c r="H755" s="476"/>
      <c r="I755" s="475"/>
      <c r="J755" s="474">
        <f t="shared" si="15"/>
        <v>10.4076</v>
      </c>
    </row>
    <row r="756" spans="2:10" s="460" customFormat="1" ht="15">
      <c r="B756" s="464"/>
      <c r="C756" s="278" t="s">
        <v>1740</v>
      </c>
      <c r="D756" s="172"/>
      <c r="E756" s="278"/>
      <c r="F756" s="476">
        <v>3</v>
      </c>
      <c r="G756" s="476">
        <v>3.54</v>
      </c>
      <c r="H756" s="476"/>
      <c r="I756" s="475"/>
      <c r="J756" s="474">
        <f t="shared" si="15"/>
        <v>10.620000000000001</v>
      </c>
    </row>
    <row r="757" spans="2:10" s="460" customFormat="1" ht="15">
      <c r="B757" s="464"/>
      <c r="C757" s="278" t="s">
        <v>1794</v>
      </c>
      <c r="D757" s="172"/>
      <c r="E757" s="278"/>
      <c r="F757" s="476">
        <v>2.94</v>
      </c>
      <c r="G757" s="476">
        <v>3.54</v>
      </c>
      <c r="H757" s="476"/>
      <c r="I757" s="475"/>
      <c r="J757" s="474">
        <f t="shared" si="15"/>
        <v>10.4076</v>
      </c>
    </row>
    <row r="758" spans="2:10" s="460" customFormat="1" ht="15">
      <c r="B758" s="464"/>
      <c r="C758" s="278"/>
      <c r="D758" s="172"/>
      <c r="E758" s="278"/>
      <c r="F758" s="476">
        <v>0.73</v>
      </c>
      <c r="G758" s="476">
        <v>0.74</v>
      </c>
      <c r="H758" s="476"/>
      <c r="I758" s="475"/>
      <c r="J758" s="474">
        <f t="shared" si="15"/>
        <v>0.54020000000000001</v>
      </c>
    </row>
    <row r="759" spans="2:10" s="460" customFormat="1" ht="15">
      <c r="B759" s="464"/>
      <c r="C759" s="278"/>
      <c r="D759" s="172"/>
      <c r="E759" s="278"/>
      <c r="F759" s="476">
        <v>0.73</v>
      </c>
      <c r="G759" s="476">
        <v>0.7</v>
      </c>
      <c r="H759" s="476"/>
      <c r="I759" s="475"/>
      <c r="J759" s="474">
        <f t="shared" si="15"/>
        <v>0.51100000000000001</v>
      </c>
    </row>
    <row r="760" spans="2:10" s="460" customFormat="1" ht="15">
      <c r="B760" s="464"/>
      <c r="C760" s="278" t="s">
        <v>1793</v>
      </c>
      <c r="D760" s="172"/>
      <c r="E760" s="278"/>
      <c r="F760" s="476">
        <v>3</v>
      </c>
      <c r="G760" s="476">
        <v>3.54</v>
      </c>
      <c r="H760" s="476"/>
      <c r="I760" s="475"/>
      <c r="J760" s="474">
        <f t="shared" si="15"/>
        <v>10.620000000000001</v>
      </c>
    </row>
    <row r="761" spans="2:10" s="460" customFormat="1" ht="15">
      <c r="B761" s="464"/>
      <c r="C761" s="278"/>
      <c r="D761" s="172"/>
      <c r="E761" s="278"/>
      <c r="F761" s="476">
        <v>0.7</v>
      </c>
      <c r="G761" s="476">
        <v>0.74</v>
      </c>
      <c r="H761" s="476"/>
      <c r="I761" s="475"/>
      <c r="J761" s="474">
        <f t="shared" si="15"/>
        <v>0.51800000000000002</v>
      </c>
    </row>
    <row r="762" spans="2:10" s="460" customFormat="1" ht="15">
      <c r="B762" s="464"/>
      <c r="C762" s="278"/>
      <c r="D762" s="172"/>
      <c r="E762" s="278"/>
      <c r="F762" s="476">
        <v>0.7</v>
      </c>
      <c r="G762" s="476">
        <v>0.7</v>
      </c>
      <c r="H762" s="476"/>
      <c r="I762" s="475"/>
      <c r="J762" s="474">
        <f t="shared" si="15"/>
        <v>0.48999999999999994</v>
      </c>
    </row>
    <row r="763" spans="2:10" s="460" customFormat="1" ht="15">
      <c r="B763" s="464"/>
      <c r="C763" s="278" t="s">
        <v>1792</v>
      </c>
      <c r="D763" s="172"/>
      <c r="E763" s="278"/>
      <c r="F763" s="476">
        <v>3</v>
      </c>
      <c r="G763" s="476">
        <v>3.54</v>
      </c>
      <c r="H763" s="476"/>
      <c r="I763" s="475"/>
      <c r="J763" s="474">
        <f t="shared" si="15"/>
        <v>10.620000000000001</v>
      </c>
    </row>
    <row r="764" spans="2:10" s="460" customFormat="1" ht="15">
      <c r="B764" s="464"/>
      <c r="C764" s="278"/>
      <c r="D764" s="172"/>
      <c r="E764" s="278"/>
      <c r="F764" s="476">
        <v>0.7</v>
      </c>
      <c r="G764" s="476">
        <v>0.74</v>
      </c>
      <c r="H764" s="476"/>
      <c r="I764" s="475"/>
      <c r="J764" s="474">
        <f t="shared" si="15"/>
        <v>0.51800000000000002</v>
      </c>
    </row>
    <row r="765" spans="2:10" s="460" customFormat="1" ht="15">
      <c r="B765" s="464"/>
      <c r="C765" s="278"/>
      <c r="D765" s="172"/>
      <c r="E765" s="278"/>
      <c r="F765" s="476">
        <v>0.7</v>
      </c>
      <c r="G765" s="476">
        <v>0.7</v>
      </c>
      <c r="H765" s="476"/>
      <c r="I765" s="475"/>
      <c r="J765" s="474">
        <f t="shared" si="15"/>
        <v>0.48999999999999994</v>
      </c>
    </row>
    <row r="766" spans="2:10" s="460" customFormat="1" ht="15">
      <c r="B766" s="464"/>
      <c r="C766" s="278" t="s">
        <v>1791</v>
      </c>
      <c r="D766" s="172"/>
      <c r="E766" s="278"/>
      <c r="F766" s="476">
        <v>30.86</v>
      </c>
      <c r="G766" s="476">
        <v>1</v>
      </c>
      <c r="H766" s="476"/>
      <c r="I766" s="475"/>
      <c r="J766" s="474">
        <f t="shared" si="15"/>
        <v>30.86</v>
      </c>
    </row>
    <row r="767" spans="2:10" s="460" customFormat="1" ht="15">
      <c r="B767" s="464"/>
      <c r="C767" s="278" t="s">
        <v>1790</v>
      </c>
      <c r="D767" s="172"/>
      <c r="E767" s="278"/>
      <c r="F767" s="476">
        <v>3</v>
      </c>
      <c r="G767" s="476">
        <v>3.46</v>
      </c>
      <c r="H767" s="476"/>
      <c r="I767" s="475"/>
      <c r="J767" s="474">
        <f t="shared" si="15"/>
        <v>10.379999999999999</v>
      </c>
    </row>
    <row r="768" spans="2:10" s="460" customFormat="1" ht="15">
      <c r="B768" s="464"/>
      <c r="C768" s="278"/>
      <c r="D768" s="172"/>
      <c r="E768" s="278"/>
      <c r="F768" s="476">
        <v>1.54</v>
      </c>
      <c r="G768" s="476">
        <v>0.89</v>
      </c>
      <c r="H768" s="476"/>
      <c r="I768" s="475"/>
      <c r="J768" s="474">
        <f t="shared" si="15"/>
        <v>1.3706</v>
      </c>
    </row>
    <row r="769" spans="2:10" s="460" customFormat="1" ht="15">
      <c r="B769" s="464"/>
      <c r="C769" s="278" t="s">
        <v>1789</v>
      </c>
      <c r="D769" s="172"/>
      <c r="E769" s="278"/>
      <c r="F769" s="476">
        <v>3</v>
      </c>
      <c r="G769" s="476">
        <v>3.46</v>
      </c>
      <c r="H769" s="476"/>
      <c r="I769" s="475"/>
      <c r="J769" s="474">
        <f t="shared" si="15"/>
        <v>10.379999999999999</v>
      </c>
    </row>
    <row r="770" spans="2:10" s="460" customFormat="1" ht="15">
      <c r="B770" s="464"/>
      <c r="C770" s="278"/>
      <c r="D770" s="172"/>
      <c r="E770" s="278"/>
      <c r="F770" s="476">
        <v>1.54</v>
      </c>
      <c r="G770" s="476">
        <v>0.59</v>
      </c>
      <c r="H770" s="476"/>
      <c r="I770" s="475"/>
      <c r="J770" s="474">
        <f t="shared" si="15"/>
        <v>0.90859999999999996</v>
      </c>
    </row>
    <row r="771" spans="2:10" ht="15">
      <c r="B771" s="459"/>
      <c r="C771" s="278" t="s">
        <v>1788</v>
      </c>
      <c r="D771" s="172"/>
      <c r="E771" s="278"/>
      <c r="F771" s="476">
        <v>3</v>
      </c>
      <c r="G771" s="476">
        <v>3.46</v>
      </c>
      <c r="H771" s="476"/>
      <c r="I771" s="475"/>
      <c r="J771" s="474">
        <f t="shared" si="15"/>
        <v>10.379999999999999</v>
      </c>
    </row>
    <row r="772" spans="2:10" ht="15">
      <c r="B772" s="459"/>
      <c r="C772" s="278"/>
      <c r="D772" s="172"/>
      <c r="E772" s="278"/>
      <c r="F772" s="476">
        <v>1.54</v>
      </c>
      <c r="G772" s="476">
        <v>0.89</v>
      </c>
      <c r="H772" s="476"/>
      <c r="I772" s="475"/>
      <c r="J772" s="474">
        <f t="shared" si="15"/>
        <v>1.3706</v>
      </c>
    </row>
    <row r="773" spans="2:10" ht="15">
      <c r="B773" s="459"/>
      <c r="C773" s="278" t="s">
        <v>1787</v>
      </c>
      <c r="D773" s="172"/>
      <c r="E773" s="278"/>
      <c r="F773" s="476">
        <v>3</v>
      </c>
      <c r="G773" s="476">
        <v>3.46</v>
      </c>
      <c r="H773" s="476"/>
      <c r="I773" s="475"/>
      <c r="J773" s="474">
        <f t="shared" si="15"/>
        <v>10.379999999999999</v>
      </c>
    </row>
    <row r="774" spans="2:10" ht="15">
      <c r="B774" s="459"/>
      <c r="C774" s="278"/>
      <c r="D774" s="172"/>
      <c r="E774" s="278"/>
      <c r="F774" s="476">
        <v>1.54</v>
      </c>
      <c r="G774" s="476">
        <v>0.59</v>
      </c>
      <c r="H774" s="476"/>
      <c r="I774" s="475"/>
      <c r="J774" s="474">
        <f t="shared" ref="J774:J805" si="16">F774*G774</f>
        <v>0.90859999999999996</v>
      </c>
    </row>
    <row r="775" spans="2:10" ht="15">
      <c r="B775" s="459"/>
      <c r="C775" s="278" t="s">
        <v>1786</v>
      </c>
      <c r="D775" s="172"/>
      <c r="E775" s="278"/>
      <c r="F775" s="476">
        <v>3</v>
      </c>
      <c r="G775" s="476">
        <v>3.46</v>
      </c>
      <c r="H775" s="476"/>
      <c r="I775" s="475"/>
      <c r="J775" s="474">
        <f t="shared" si="16"/>
        <v>10.379999999999999</v>
      </c>
    </row>
    <row r="776" spans="2:10" ht="15">
      <c r="B776" s="459"/>
      <c r="C776" s="278"/>
      <c r="D776" s="172"/>
      <c r="E776" s="278"/>
      <c r="F776" s="476">
        <v>1.54</v>
      </c>
      <c r="G776" s="476">
        <v>0.89</v>
      </c>
      <c r="H776" s="476"/>
      <c r="I776" s="475"/>
      <c r="J776" s="474">
        <f t="shared" si="16"/>
        <v>1.3706</v>
      </c>
    </row>
    <row r="777" spans="2:10" ht="15">
      <c r="B777" s="459"/>
      <c r="C777" s="278" t="s">
        <v>1785</v>
      </c>
      <c r="D777" s="172"/>
      <c r="E777" s="278"/>
      <c r="F777" s="476">
        <v>3</v>
      </c>
      <c r="G777" s="476">
        <v>3.46</v>
      </c>
      <c r="H777" s="476"/>
      <c r="I777" s="475"/>
      <c r="J777" s="474">
        <f t="shared" si="16"/>
        <v>10.379999999999999</v>
      </c>
    </row>
    <row r="778" spans="2:10" ht="15">
      <c r="B778" s="459"/>
      <c r="C778" s="278"/>
      <c r="D778" s="172"/>
      <c r="E778" s="278"/>
      <c r="F778" s="476">
        <v>1.54</v>
      </c>
      <c r="G778" s="476">
        <v>0.59</v>
      </c>
      <c r="H778" s="476"/>
      <c r="I778" s="475"/>
      <c r="J778" s="474">
        <f t="shared" si="16"/>
        <v>0.90859999999999996</v>
      </c>
    </row>
    <row r="779" spans="2:10" ht="15">
      <c r="B779" s="459"/>
      <c r="C779" s="278" t="s">
        <v>1784</v>
      </c>
      <c r="D779" s="172"/>
      <c r="E779" s="278"/>
      <c r="F779" s="476">
        <v>3</v>
      </c>
      <c r="G779" s="476">
        <v>3.46</v>
      </c>
      <c r="H779" s="476"/>
      <c r="I779" s="475"/>
      <c r="J779" s="474">
        <f t="shared" si="16"/>
        <v>10.379999999999999</v>
      </c>
    </row>
    <row r="780" spans="2:10" ht="15">
      <c r="B780" s="459"/>
      <c r="C780" s="278"/>
      <c r="D780" s="172"/>
      <c r="E780" s="278"/>
      <c r="F780" s="476">
        <v>1.54</v>
      </c>
      <c r="G780" s="476">
        <v>0.89</v>
      </c>
      <c r="H780" s="476"/>
      <c r="I780" s="475"/>
      <c r="J780" s="474">
        <f t="shared" si="16"/>
        <v>1.3706</v>
      </c>
    </row>
    <row r="781" spans="2:10" ht="15">
      <c r="B781" s="459"/>
      <c r="C781" s="278" t="s">
        <v>1783</v>
      </c>
      <c r="D781" s="172"/>
      <c r="E781" s="278"/>
      <c r="F781" s="476">
        <v>3.61</v>
      </c>
      <c r="G781" s="476">
        <v>3.01</v>
      </c>
      <c r="H781" s="476"/>
      <c r="I781" s="475"/>
      <c r="J781" s="474">
        <f t="shared" si="16"/>
        <v>10.866099999999999</v>
      </c>
    </row>
    <row r="782" spans="2:10" ht="15">
      <c r="B782" s="459"/>
      <c r="C782" s="278"/>
      <c r="D782" s="172"/>
      <c r="E782" s="278"/>
      <c r="F782" s="476">
        <v>1.54</v>
      </c>
      <c r="G782" s="476">
        <v>0.56000000000000005</v>
      </c>
      <c r="H782" s="476"/>
      <c r="I782" s="475"/>
      <c r="J782" s="474">
        <f t="shared" si="16"/>
        <v>0.86240000000000006</v>
      </c>
    </row>
    <row r="783" spans="2:10" ht="15">
      <c r="B783" s="459"/>
      <c r="C783" s="278" t="s">
        <v>1782</v>
      </c>
      <c r="D783" s="172"/>
      <c r="E783" s="278"/>
      <c r="F783" s="476">
        <v>28.62</v>
      </c>
      <c r="G783" s="476">
        <v>2.27</v>
      </c>
      <c r="H783" s="476"/>
      <c r="I783" s="475"/>
      <c r="J783" s="474">
        <f t="shared" si="16"/>
        <v>64.967399999999998</v>
      </c>
    </row>
    <row r="784" spans="2:10" ht="15">
      <c r="B784" s="459"/>
      <c r="C784" s="278" t="s">
        <v>1781</v>
      </c>
      <c r="D784" s="172"/>
      <c r="E784" s="278"/>
      <c r="F784" s="476">
        <v>2.95</v>
      </c>
      <c r="G784" s="476">
        <v>7.84</v>
      </c>
      <c r="H784" s="476"/>
      <c r="I784" s="475"/>
      <c r="J784" s="474">
        <f t="shared" si="16"/>
        <v>23.128</v>
      </c>
    </row>
    <row r="785" spans="2:10" ht="15">
      <c r="B785" s="459"/>
      <c r="C785" s="278"/>
      <c r="D785" s="172"/>
      <c r="E785" s="278"/>
      <c r="F785" s="476">
        <v>15.64</v>
      </c>
      <c r="G785" s="476">
        <v>7</v>
      </c>
      <c r="H785" s="476"/>
      <c r="I785" s="475"/>
      <c r="J785" s="474">
        <f t="shared" si="16"/>
        <v>109.48</v>
      </c>
    </row>
    <row r="786" spans="2:10" ht="15">
      <c r="B786" s="459"/>
      <c r="C786" s="278"/>
      <c r="D786" s="172"/>
      <c r="E786" s="278"/>
      <c r="F786" s="476">
        <v>2.11</v>
      </c>
      <c r="G786" s="476">
        <v>4.3499999999999996</v>
      </c>
      <c r="H786" s="476"/>
      <c r="I786" s="475"/>
      <c r="J786" s="474">
        <f t="shared" si="16"/>
        <v>9.1784999999999979</v>
      </c>
    </row>
    <row r="787" spans="2:10" ht="15">
      <c r="B787" s="459"/>
      <c r="C787" s="278" t="s">
        <v>1780</v>
      </c>
      <c r="D787" s="172"/>
      <c r="E787" s="278"/>
      <c r="F787" s="476">
        <v>2.92</v>
      </c>
      <c r="G787" s="476">
        <v>2.1</v>
      </c>
      <c r="H787" s="476"/>
      <c r="I787" s="475"/>
      <c r="J787" s="474">
        <f t="shared" si="16"/>
        <v>6.1319999999999997</v>
      </c>
    </row>
    <row r="788" spans="2:10" ht="15">
      <c r="B788" s="459"/>
      <c r="C788" s="278" t="s">
        <v>1779</v>
      </c>
      <c r="D788" s="172"/>
      <c r="E788" s="278"/>
      <c r="F788" s="476">
        <v>2.92</v>
      </c>
      <c r="G788" s="476">
        <v>2.92</v>
      </c>
      <c r="H788" s="476"/>
      <c r="I788" s="475"/>
      <c r="J788" s="474">
        <f t="shared" si="16"/>
        <v>8.5263999999999989</v>
      </c>
    </row>
    <row r="789" spans="2:10" ht="15">
      <c r="B789" s="459"/>
      <c r="C789" s="278" t="s">
        <v>1778</v>
      </c>
      <c r="D789" s="172"/>
      <c r="E789" s="278"/>
      <c r="F789" s="476">
        <v>2.92</v>
      </c>
      <c r="G789" s="476">
        <v>5.38</v>
      </c>
      <c r="H789" s="476"/>
      <c r="I789" s="475"/>
      <c r="J789" s="474">
        <f t="shared" si="16"/>
        <v>15.7096</v>
      </c>
    </row>
    <row r="790" spans="2:10" ht="15">
      <c r="B790" s="459"/>
      <c r="C790" s="278" t="s">
        <v>1777</v>
      </c>
      <c r="D790" s="172"/>
      <c r="E790" s="278"/>
      <c r="F790" s="476">
        <v>3</v>
      </c>
      <c r="G790" s="476">
        <v>5.15</v>
      </c>
      <c r="H790" s="476"/>
      <c r="I790" s="475"/>
      <c r="J790" s="474">
        <f t="shared" si="16"/>
        <v>15.450000000000001</v>
      </c>
    </row>
    <row r="791" spans="2:10" ht="15">
      <c r="B791" s="459"/>
      <c r="C791" s="278" t="s">
        <v>1776</v>
      </c>
      <c r="D791" s="172"/>
      <c r="E791" s="278"/>
      <c r="F791" s="476">
        <v>1.1599999999999999</v>
      </c>
      <c r="G791" s="476">
        <v>1.85</v>
      </c>
      <c r="H791" s="476"/>
      <c r="I791" s="475"/>
      <c r="J791" s="474">
        <f t="shared" si="16"/>
        <v>2.1459999999999999</v>
      </c>
    </row>
    <row r="792" spans="2:10" ht="15">
      <c r="B792" s="459"/>
      <c r="C792" s="278" t="s">
        <v>1775</v>
      </c>
      <c r="D792" s="172"/>
      <c r="E792" s="278"/>
      <c r="F792" s="476">
        <v>3.79</v>
      </c>
      <c r="G792" s="476">
        <v>1</v>
      </c>
      <c r="H792" s="476"/>
      <c r="I792" s="475"/>
      <c r="J792" s="474">
        <f t="shared" si="16"/>
        <v>3.79</v>
      </c>
    </row>
    <row r="793" spans="2:10" ht="15">
      <c r="B793" s="459"/>
      <c r="C793" s="278" t="s">
        <v>1774</v>
      </c>
      <c r="D793" s="172"/>
      <c r="E793" s="278"/>
      <c r="F793" s="476">
        <v>3</v>
      </c>
      <c r="G793" s="476">
        <v>5.21</v>
      </c>
      <c r="H793" s="476"/>
      <c r="I793" s="475"/>
      <c r="J793" s="474">
        <f t="shared" si="16"/>
        <v>15.629999999999999</v>
      </c>
    </row>
    <row r="794" spans="2:10" ht="15">
      <c r="B794" s="459"/>
      <c r="C794" s="278" t="s">
        <v>1773</v>
      </c>
      <c r="D794" s="172"/>
      <c r="E794" s="278"/>
      <c r="F794" s="476">
        <v>5.15</v>
      </c>
      <c r="G794" s="476">
        <v>5.15</v>
      </c>
      <c r="H794" s="476"/>
      <c r="I794" s="475"/>
      <c r="J794" s="474">
        <f t="shared" si="16"/>
        <v>26.522500000000004</v>
      </c>
    </row>
    <row r="795" spans="2:10" ht="15">
      <c r="B795" s="459"/>
      <c r="C795" s="278" t="s">
        <v>1772</v>
      </c>
      <c r="D795" s="172"/>
      <c r="E795" s="278"/>
      <c r="F795" s="476">
        <v>3.45</v>
      </c>
      <c r="G795" s="476">
        <v>2.25</v>
      </c>
      <c r="H795" s="476"/>
      <c r="I795" s="475"/>
      <c r="J795" s="474">
        <f t="shared" si="16"/>
        <v>7.7625000000000002</v>
      </c>
    </row>
    <row r="796" spans="2:10" ht="15">
      <c r="B796" s="459"/>
      <c r="C796" s="278"/>
      <c r="D796" s="172"/>
      <c r="E796" s="278"/>
      <c r="F796" s="476">
        <v>1.7</v>
      </c>
      <c r="G796" s="476">
        <v>1.53</v>
      </c>
      <c r="H796" s="476"/>
      <c r="I796" s="475"/>
      <c r="J796" s="474">
        <f t="shared" si="16"/>
        <v>2.601</v>
      </c>
    </row>
    <row r="797" spans="2:10" ht="15">
      <c r="B797" s="459"/>
      <c r="C797" s="278" t="s">
        <v>1771</v>
      </c>
      <c r="D797" s="172"/>
      <c r="E797" s="278"/>
      <c r="F797" s="476">
        <v>3.07</v>
      </c>
      <c r="G797" s="476">
        <v>3.45</v>
      </c>
      <c r="H797" s="476"/>
      <c r="I797" s="475"/>
      <c r="J797" s="474">
        <f t="shared" si="16"/>
        <v>10.5915</v>
      </c>
    </row>
    <row r="798" spans="2:10" ht="15">
      <c r="B798" s="459"/>
      <c r="C798" s="278"/>
      <c r="D798" s="172"/>
      <c r="E798" s="278"/>
      <c r="F798" s="476">
        <v>1.7</v>
      </c>
      <c r="G798" s="476">
        <v>2.17</v>
      </c>
      <c r="H798" s="476"/>
      <c r="I798" s="475"/>
      <c r="J798" s="474">
        <f t="shared" si="16"/>
        <v>3.6889999999999996</v>
      </c>
    </row>
    <row r="799" spans="2:10" ht="15">
      <c r="B799" s="459"/>
      <c r="C799" s="278" t="s">
        <v>1745</v>
      </c>
      <c r="D799" s="172"/>
      <c r="E799" s="278"/>
      <c r="F799" s="476">
        <v>2.8</v>
      </c>
      <c r="G799" s="476">
        <v>2.2799999999999998</v>
      </c>
      <c r="H799" s="476"/>
      <c r="I799" s="475"/>
      <c r="J799" s="474">
        <f t="shared" si="16"/>
        <v>6.3839999999999995</v>
      </c>
    </row>
    <row r="800" spans="2:10" ht="15">
      <c r="B800" s="459"/>
      <c r="C800" s="278" t="s">
        <v>1744</v>
      </c>
      <c r="D800" s="172"/>
      <c r="E800" s="278"/>
      <c r="F800" s="476">
        <v>2.2000000000000002</v>
      </c>
      <c r="G800" s="476">
        <v>4.43</v>
      </c>
      <c r="H800" s="476"/>
      <c r="I800" s="475"/>
      <c r="J800" s="474">
        <f t="shared" si="16"/>
        <v>9.7460000000000004</v>
      </c>
    </row>
    <row r="801" spans="2:10" ht="15">
      <c r="B801" s="459"/>
      <c r="C801" s="278" t="s">
        <v>1770</v>
      </c>
      <c r="D801" s="172"/>
      <c r="E801" s="278"/>
      <c r="F801" s="476">
        <v>2</v>
      </c>
      <c r="G801" s="476">
        <v>2.8</v>
      </c>
      <c r="H801" s="476"/>
      <c r="I801" s="475"/>
      <c r="J801" s="474">
        <f t="shared" si="16"/>
        <v>5.6</v>
      </c>
    </row>
    <row r="802" spans="2:10" ht="15">
      <c r="B802" s="459"/>
      <c r="C802" s="278" t="s">
        <v>1743</v>
      </c>
      <c r="D802" s="172"/>
      <c r="E802" s="278"/>
      <c r="F802" s="476">
        <v>12.98</v>
      </c>
      <c r="G802" s="476">
        <v>5.15</v>
      </c>
      <c r="H802" s="476"/>
      <c r="I802" s="475"/>
      <c r="J802" s="474">
        <f t="shared" si="16"/>
        <v>66.847000000000008</v>
      </c>
    </row>
    <row r="803" spans="2:10" ht="15">
      <c r="B803" s="459"/>
      <c r="C803" s="278" t="s">
        <v>1769</v>
      </c>
      <c r="D803" s="172"/>
      <c r="E803" s="278"/>
      <c r="F803" s="476">
        <v>1.0900000000000001</v>
      </c>
      <c r="G803" s="476">
        <v>1.85</v>
      </c>
      <c r="H803" s="476"/>
      <c r="I803" s="475"/>
      <c r="J803" s="474">
        <f t="shared" si="16"/>
        <v>2.0165000000000002</v>
      </c>
    </row>
    <row r="804" spans="2:10" ht="15">
      <c r="B804" s="459"/>
      <c r="C804" s="278" t="s">
        <v>1768</v>
      </c>
      <c r="D804" s="172"/>
      <c r="E804" s="278"/>
      <c r="F804" s="476">
        <v>1.0900000000000001</v>
      </c>
      <c r="G804" s="476">
        <v>1.85</v>
      </c>
      <c r="H804" s="476"/>
      <c r="I804" s="475"/>
      <c r="J804" s="474">
        <f t="shared" si="16"/>
        <v>2.0165000000000002</v>
      </c>
    </row>
    <row r="805" spans="2:10" ht="15">
      <c r="B805" s="459"/>
      <c r="C805" s="278" t="s">
        <v>1767</v>
      </c>
      <c r="D805" s="172"/>
      <c r="E805" s="278"/>
      <c r="F805" s="476">
        <v>1.72</v>
      </c>
      <c r="G805" s="476">
        <v>1.39</v>
      </c>
      <c r="H805" s="476"/>
      <c r="I805" s="475"/>
      <c r="J805" s="474">
        <f t="shared" si="16"/>
        <v>2.3907999999999996</v>
      </c>
    </row>
    <row r="806" spans="2:10" ht="15">
      <c r="B806" s="459"/>
      <c r="C806" s="278" t="s">
        <v>1766</v>
      </c>
      <c r="D806" s="172"/>
      <c r="E806" s="278"/>
      <c r="F806" s="476">
        <v>1.1499999999999999</v>
      </c>
      <c r="G806" s="476">
        <v>1.59</v>
      </c>
      <c r="H806" s="476"/>
      <c r="I806" s="475"/>
      <c r="J806" s="474">
        <f t="shared" ref="J806:J823" si="17">F806*G806</f>
        <v>1.8285</v>
      </c>
    </row>
    <row r="807" spans="2:10" ht="15">
      <c r="B807" s="459"/>
      <c r="C807" s="278" t="s">
        <v>1765</v>
      </c>
      <c r="D807" s="172"/>
      <c r="E807" s="278"/>
      <c r="F807" s="476">
        <v>1.55</v>
      </c>
      <c r="G807" s="476">
        <v>1.47</v>
      </c>
      <c r="H807" s="476"/>
      <c r="I807" s="475"/>
      <c r="J807" s="474">
        <f t="shared" si="17"/>
        <v>2.2785000000000002</v>
      </c>
    </row>
    <row r="808" spans="2:10" ht="15">
      <c r="B808" s="459"/>
      <c r="C808" s="278" t="s">
        <v>1764</v>
      </c>
      <c r="D808" s="172"/>
      <c r="E808" s="278"/>
      <c r="F808" s="476">
        <v>1.01</v>
      </c>
      <c r="G808" s="476">
        <v>1.32</v>
      </c>
      <c r="H808" s="476"/>
      <c r="I808" s="475"/>
      <c r="J808" s="474">
        <f t="shared" si="17"/>
        <v>1.3332000000000002</v>
      </c>
    </row>
    <row r="809" spans="2:10" ht="15">
      <c r="B809" s="459"/>
      <c r="C809" s="278"/>
      <c r="D809" s="172"/>
      <c r="E809" s="278"/>
      <c r="F809" s="476">
        <v>0.94</v>
      </c>
      <c r="G809" s="476">
        <v>1.32</v>
      </c>
      <c r="H809" s="476"/>
      <c r="I809" s="475"/>
      <c r="J809" s="474">
        <f t="shared" si="17"/>
        <v>1.2407999999999999</v>
      </c>
    </row>
    <row r="810" spans="2:10" ht="15">
      <c r="B810" s="459"/>
      <c r="C810" s="278"/>
      <c r="D810" s="172"/>
      <c r="E810" s="278"/>
      <c r="F810" s="476">
        <v>2.13</v>
      </c>
      <c r="G810" s="476">
        <v>1.02</v>
      </c>
      <c r="H810" s="476"/>
      <c r="I810" s="475"/>
      <c r="J810" s="474">
        <f t="shared" si="17"/>
        <v>2.1726000000000001</v>
      </c>
    </row>
    <row r="811" spans="2:10" ht="15">
      <c r="B811" s="459"/>
      <c r="C811" s="278" t="s">
        <v>1738</v>
      </c>
      <c r="D811" s="172"/>
      <c r="E811" s="278"/>
      <c r="F811" s="476">
        <v>0.94</v>
      </c>
      <c r="G811" s="476">
        <v>1.32</v>
      </c>
      <c r="H811" s="476"/>
      <c r="I811" s="475"/>
      <c r="J811" s="474">
        <f t="shared" si="17"/>
        <v>1.2407999999999999</v>
      </c>
    </row>
    <row r="812" spans="2:10" ht="15">
      <c r="B812" s="459"/>
      <c r="C812" s="278"/>
      <c r="D812" s="172"/>
      <c r="E812" s="278"/>
      <c r="F812" s="476">
        <v>1.01</v>
      </c>
      <c r="G812" s="476">
        <v>1.32</v>
      </c>
      <c r="H812" s="476"/>
      <c r="I812" s="475"/>
      <c r="J812" s="474">
        <f t="shared" si="17"/>
        <v>1.3332000000000002</v>
      </c>
    </row>
    <row r="813" spans="2:10" ht="15">
      <c r="B813" s="459"/>
      <c r="C813" s="278"/>
      <c r="D813" s="172"/>
      <c r="E813" s="278"/>
      <c r="F813" s="476">
        <v>2.37</v>
      </c>
      <c r="G813" s="476">
        <v>2.0699999999999998</v>
      </c>
      <c r="H813" s="476"/>
      <c r="I813" s="475"/>
      <c r="J813" s="474">
        <f t="shared" si="17"/>
        <v>4.9058999999999999</v>
      </c>
    </row>
    <row r="814" spans="2:10" ht="15">
      <c r="B814" s="459"/>
      <c r="C814" s="278"/>
      <c r="D814" s="172"/>
      <c r="E814" s="278"/>
      <c r="F814" s="476">
        <v>1.2</v>
      </c>
      <c r="G814" s="476">
        <v>1.2</v>
      </c>
      <c r="H814" s="476"/>
      <c r="I814" s="475"/>
      <c r="J814" s="474">
        <f t="shared" si="17"/>
        <v>1.44</v>
      </c>
    </row>
    <row r="815" spans="2:10" ht="15">
      <c r="B815" s="459"/>
      <c r="C815" s="278" t="s">
        <v>1737</v>
      </c>
      <c r="D815" s="172"/>
      <c r="E815" s="278"/>
      <c r="F815" s="476">
        <v>0.89</v>
      </c>
      <c r="G815" s="476">
        <v>1.1499999999999999</v>
      </c>
      <c r="H815" s="476"/>
      <c r="I815" s="475"/>
      <c r="J815" s="474">
        <f t="shared" si="17"/>
        <v>1.0234999999999999</v>
      </c>
    </row>
    <row r="816" spans="2:10" ht="15">
      <c r="B816" s="459"/>
      <c r="C816" s="278"/>
      <c r="D816" s="172"/>
      <c r="E816" s="278"/>
      <c r="F816" s="476">
        <v>0.89</v>
      </c>
      <c r="G816" s="476">
        <v>1.1499999999999999</v>
      </c>
      <c r="H816" s="476"/>
      <c r="I816" s="475"/>
      <c r="J816" s="474">
        <f t="shared" si="17"/>
        <v>1.0234999999999999</v>
      </c>
    </row>
    <row r="817" spans="2:10" ht="15">
      <c r="B817" s="459"/>
      <c r="C817" s="278"/>
      <c r="D817" s="172"/>
      <c r="E817" s="278"/>
      <c r="F817" s="476">
        <v>3.05</v>
      </c>
      <c r="G817" s="476">
        <v>1.93</v>
      </c>
      <c r="H817" s="476"/>
      <c r="I817" s="475"/>
      <c r="J817" s="474">
        <f t="shared" si="17"/>
        <v>5.8864999999999998</v>
      </c>
    </row>
    <row r="818" spans="2:10" ht="15">
      <c r="B818" s="459"/>
      <c r="C818" s="278" t="s">
        <v>1763</v>
      </c>
      <c r="D818" s="172"/>
      <c r="E818" s="278"/>
      <c r="F818" s="476">
        <v>0.95</v>
      </c>
      <c r="G818" s="476">
        <v>1.1499999999999999</v>
      </c>
      <c r="H818" s="476"/>
      <c r="I818" s="475"/>
      <c r="J818" s="474">
        <f t="shared" si="17"/>
        <v>1.0924999999999998</v>
      </c>
    </row>
    <row r="819" spans="2:10" ht="15">
      <c r="B819" s="459"/>
      <c r="C819" s="278"/>
      <c r="D819" s="172"/>
      <c r="E819" s="278"/>
      <c r="F819" s="476">
        <v>0.95</v>
      </c>
      <c r="G819" s="476">
        <v>1.1499999999999999</v>
      </c>
      <c r="H819" s="476"/>
      <c r="I819" s="475"/>
      <c r="J819" s="474">
        <f t="shared" si="17"/>
        <v>1.0924999999999998</v>
      </c>
    </row>
    <row r="820" spans="2:10" ht="15">
      <c r="B820" s="459"/>
      <c r="C820" s="278"/>
      <c r="D820" s="172"/>
      <c r="E820" s="278"/>
      <c r="F820" s="476">
        <v>3.05</v>
      </c>
      <c r="G820" s="476">
        <v>2.21</v>
      </c>
      <c r="H820" s="476"/>
      <c r="I820" s="475"/>
      <c r="J820" s="474">
        <f t="shared" si="17"/>
        <v>6.7404999999999999</v>
      </c>
    </row>
    <row r="821" spans="2:10" ht="15">
      <c r="B821" s="459"/>
      <c r="C821" s="278" t="s">
        <v>1739</v>
      </c>
      <c r="D821" s="172"/>
      <c r="E821" s="278"/>
      <c r="F821" s="476">
        <v>2.66</v>
      </c>
      <c r="G821" s="476">
        <v>4.3499999999999996</v>
      </c>
      <c r="H821" s="476"/>
      <c r="I821" s="475"/>
      <c r="J821" s="474">
        <f t="shared" si="17"/>
        <v>11.571</v>
      </c>
    </row>
    <row r="822" spans="2:10" ht="15">
      <c r="B822" s="459"/>
      <c r="C822" s="278" t="s">
        <v>1728</v>
      </c>
      <c r="D822" s="172"/>
      <c r="E822" s="278"/>
      <c r="F822" s="476">
        <v>2.2999999999999998</v>
      </c>
      <c r="G822" s="476">
        <v>3.27</v>
      </c>
      <c r="H822" s="476"/>
      <c r="I822" s="475"/>
      <c r="J822" s="474">
        <f t="shared" si="17"/>
        <v>7.520999999999999</v>
      </c>
    </row>
    <row r="823" spans="2:10" ht="15">
      <c r="B823" s="459"/>
      <c r="C823" s="278" t="s">
        <v>1762</v>
      </c>
      <c r="D823" s="172"/>
      <c r="E823" s="278"/>
      <c r="F823" s="476">
        <v>21.44</v>
      </c>
      <c r="G823" s="476">
        <v>2.54</v>
      </c>
      <c r="H823" s="476"/>
      <c r="I823" s="475"/>
      <c r="J823" s="474">
        <f t="shared" si="17"/>
        <v>54.457600000000006</v>
      </c>
    </row>
    <row r="824" spans="2:10" ht="15">
      <c r="B824" s="459"/>
      <c r="C824" s="176"/>
      <c r="D824" s="172"/>
      <c r="E824" s="368"/>
      <c r="F824" s="468"/>
      <c r="G824" s="468"/>
      <c r="H824" s="467"/>
      <c r="I824" s="466"/>
      <c r="J824" s="465"/>
    </row>
    <row r="825" spans="2:10" s="460" customFormat="1" ht="25.5">
      <c r="B825" s="464" t="s">
        <v>650</v>
      </c>
      <c r="C825" s="368" t="s">
        <v>930</v>
      </c>
      <c r="D825" s="289" t="s">
        <v>543</v>
      </c>
      <c r="E825" s="278"/>
      <c r="F825" s="463"/>
      <c r="G825" s="463"/>
      <c r="H825" s="463"/>
      <c r="I825" s="462" t="s">
        <v>1760</v>
      </c>
      <c r="J825" s="469">
        <f>J652</f>
        <v>2293.2248</v>
      </c>
    </row>
    <row r="826" spans="2:10" s="470" customFormat="1" ht="15">
      <c r="B826" s="459"/>
      <c r="C826" s="278"/>
      <c r="D826" s="172"/>
      <c r="E826" s="368"/>
      <c r="F826" s="473"/>
      <c r="G826" s="473"/>
      <c r="H826" s="473"/>
      <c r="I826" s="472"/>
      <c r="J826" s="471"/>
    </row>
    <row r="827" spans="2:10" s="460" customFormat="1" ht="25.5">
      <c r="B827" s="464" t="s">
        <v>652</v>
      </c>
      <c r="C827" s="368" t="s">
        <v>1658</v>
      </c>
      <c r="D827" s="289" t="s">
        <v>543</v>
      </c>
      <c r="E827" s="278"/>
      <c r="F827" s="463"/>
      <c r="G827" s="463"/>
      <c r="H827" s="463"/>
      <c r="I827" s="462" t="s">
        <v>1760</v>
      </c>
      <c r="J827" s="469">
        <f>J741</f>
        <v>778.62469999999996</v>
      </c>
    </row>
    <row r="828" spans="2:10" ht="15">
      <c r="B828" s="459"/>
      <c r="C828" s="176"/>
      <c r="D828" s="172"/>
      <c r="E828" s="368"/>
      <c r="F828" s="468"/>
      <c r="G828" s="468"/>
      <c r="H828" s="467"/>
      <c r="I828" s="466"/>
      <c r="J828" s="465"/>
    </row>
    <row r="829" spans="2:10" s="460" customFormat="1" ht="25.5">
      <c r="B829" s="464" t="s">
        <v>654</v>
      </c>
      <c r="C829" s="368" t="s">
        <v>933</v>
      </c>
      <c r="D829" s="289" t="s">
        <v>543</v>
      </c>
      <c r="E829" s="278"/>
      <c r="F829" s="463"/>
      <c r="G829" s="463"/>
      <c r="H829" s="463"/>
      <c r="I829" s="462" t="s">
        <v>1760</v>
      </c>
      <c r="J829" s="469">
        <f>J652</f>
        <v>2293.2248</v>
      </c>
    </row>
    <row r="830" spans="2:10" s="470" customFormat="1" ht="15">
      <c r="B830" s="459"/>
      <c r="C830" s="278"/>
      <c r="D830" s="172"/>
      <c r="E830" s="368"/>
      <c r="F830" s="473"/>
      <c r="G830" s="473"/>
      <c r="H830" s="473"/>
      <c r="I830" s="472"/>
      <c r="J830" s="471"/>
    </row>
    <row r="831" spans="2:10" s="460" customFormat="1" ht="25.5">
      <c r="B831" s="464" t="s">
        <v>1761</v>
      </c>
      <c r="C831" s="368" t="s">
        <v>931</v>
      </c>
      <c r="D831" s="289" t="s">
        <v>543</v>
      </c>
      <c r="E831" s="278"/>
      <c r="F831" s="463"/>
      <c r="G831" s="463"/>
      <c r="H831" s="463"/>
      <c r="I831" s="462" t="s">
        <v>1760</v>
      </c>
      <c r="J831" s="469">
        <f>J741</f>
        <v>778.62469999999996</v>
      </c>
    </row>
    <row r="832" spans="2:10" ht="15">
      <c r="B832" s="459"/>
      <c r="C832" s="176"/>
      <c r="D832" s="172"/>
      <c r="E832" s="368"/>
      <c r="F832" s="468"/>
      <c r="G832" s="468"/>
      <c r="H832" s="467"/>
      <c r="I832" s="466"/>
      <c r="J832" s="465"/>
    </row>
    <row r="833" spans="2:10" s="460" customFormat="1" ht="25.5">
      <c r="B833" s="464" t="s">
        <v>1759</v>
      </c>
      <c r="C833" s="368" t="str">
        <f>ORCAMENTO!D375</f>
        <v>PINTURA ESMALTE ACETINADO PARA MADEIRA, DUAS DEMAOS, SOBRE FUNDO NIVELADOR BRANCO</v>
      </c>
      <c r="D833" s="289" t="str">
        <f>'[5]PLANILHA ORÇAMENTÁRIA'!F134</f>
        <v>M2</v>
      </c>
      <c r="E833" s="278"/>
      <c r="F833" s="463"/>
      <c r="G833" s="463"/>
      <c r="H833" s="463"/>
      <c r="I833" s="462"/>
      <c r="J833" s="461">
        <f>SUM(J834:J838)</f>
        <v>261.97999999999996</v>
      </c>
    </row>
    <row r="834" spans="2:10" ht="15">
      <c r="B834" s="459"/>
      <c r="C834" s="278" t="s">
        <v>1758</v>
      </c>
      <c r="D834" s="172" t="s">
        <v>698</v>
      </c>
      <c r="E834" s="278">
        <v>14</v>
      </c>
      <c r="F834" s="457">
        <v>0.6</v>
      </c>
      <c r="G834" s="457">
        <v>2.1</v>
      </c>
      <c r="H834" s="457">
        <v>2.5</v>
      </c>
      <c r="I834" s="456"/>
      <c r="J834" s="458">
        <f>ROUND(E834*F834*G834*H834,2)</f>
        <v>44.1</v>
      </c>
    </row>
    <row r="835" spans="2:10" ht="15">
      <c r="B835" s="459"/>
      <c r="C835" s="278" t="s">
        <v>1757</v>
      </c>
      <c r="D835" s="172" t="s">
        <v>698</v>
      </c>
      <c r="E835" s="278">
        <v>5</v>
      </c>
      <c r="F835" s="457">
        <v>0.7</v>
      </c>
      <c r="G835" s="457">
        <v>2.1</v>
      </c>
      <c r="H835" s="457">
        <v>2.5</v>
      </c>
      <c r="I835" s="456"/>
      <c r="J835" s="458">
        <f>ROUND(E835*F835*G835*H835,2)</f>
        <v>18.38</v>
      </c>
    </row>
    <row r="836" spans="2:10" ht="15">
      <c r="B836" s="459"/>
      <c r="C836" s="278" t="s">
        <v>1756</v>
      </c>
      <c r="D836" s="172" t="s">
        <v>698</v>
      </c>
      <c r="E836" s="278">
        <v>42</v>
      </c>
      <c r="F836" s="457">
        <v>0.8</v>
      </c>
      <c r="G836" s="457">
        <v>2.1</v>
      </c>
      <c r="H836" s="457">
        <v>2.5</v>
      </c>
      <c r="I836" s="456"/>
      <c r="J836" s="458">
        <f>ROUND(E836*F836*G836*H836,2)</f>
        <v>176.4</v>
      </c>
    </row>
    <row r="837" spans="2:10" ht="15">
      <c r="B837" s="459"/>
      <c r="C837" s="278" t="s">
        <v>1755</v>
      </c>
      <c r="D837" s="172" t="s">
        <v>698</v>
      </c>
      <c r="E837" s="278">
        <v>4</v>
      </c>
      <c r="F837" s="457">
        <v>0.9</v>
      </c>
      <c r="G837" s="457">
        <v>2.1</v>
      </c>
      <c r="H837" s="457">
        <v>2.5</v>
      </c>
      <c r="I837" s="456"/>
      <c r="J837" s="458">
        <f>ROUND(E837*F837*G837*H837,2)</f>
        <v>18.899999999999999</v>
      </c>
    </row>
    <row r="838" spans="2:10" ht="15">
      <c r="B838" s="459"/>
      <c r="C838" s="278" t="s">
        <v>1754</v>
      </c>
      <c r="D838" s="172" t="s">
        <v>698</v>
      </c>
      <c r="E838" s="278">
        <v>1</v>
      </c>
      <c r="F838" s="457">
        <v>0.8</v>
      </c>
      <c r="G838" s="457">
        <v>2.1</v>
      </c>
      <c r="H838" s="457">
        <v>2.5</v>
      </c>
      <c r="I838" s="456"/>
      <c r="J838" s="458">
        <f>ROUND(E838*F838*G838*H838,2)</f>
        <v>4.2</v>
      </c>
    </row>
    <row r="839" spans="2:10" ht="15">
      <c r="B839" s="437"/>
      <c r="C839" s="176"/>
      <c r="D839" s="172"/>
      <c r="E839" s="179"/>
      <c r="F839" s="457"/>
      <c r="G839" s="457"/>
      <c r="H839" s="457"/>
      <c r="I839" s="456"/>
      <c r="J839" s="455"/>
    </row>
    <row r="840" spans="2:10" ht="15">
      <c r="B840" s="434">
        <v>9</v>
      </c>
      <c r="C840" s="123" t="s">
        <v>724</v>
      </c>
      <c r="D840" s="123"/>
      <c r="E840" s="442"/>
      <c r="F840" s="433"/>
      <c r="G840" s="433"/>
      <c r="H840" s="433"/>
      <c r="I840" s="432" t="s">
        <v>1753</v>
      </c>
      <c r="J840" s="431"/>
    </row>
    <row r="841" spans="2:10" ht="15">
      <c r="B841" s="434"/>
      <c r="C841" s="442"/>
      <c r="D841" s="442"/>
      <c r="E841" s="179"/>
      <c r="F841" s="433"/>
      <c r="G841" s="433"/>
      <c r="H841" s="433"/>
      <c r="I841" s="432"/>
      <c r="J841" s="431"/>
    </row>
    <row r="842" spans="2:10" ht="15">
      <c r="B842" s="434">
        <v>10</v>
      </c>
      <c r="C842" s="123" t="s">
        <v>728</v>
      </c>
      <c r="D842" s="123"/>
      <c r="E842" s="442"/>
      <c r="F842" s="433"/>
      <c r="G842" s="433"/>
      <c r="H842" s="433"/>
      <c r="I842" s="432" t="s">
        <v>1752</v>
      </c>
      <c r="J842" s="431"/>
    </row>
    <row r="843" spans="2:10" ht="15">
      <c r="B843" s="434"/>
      <c r="C843" s="442"/>
      <c r="D843" s="442"/>
      <c r="E843" s="368"/>
      <c r="F843" s="433"/>
      <c r="G843" s="433"/>
      <c r="H843" s="433"/>
      <c r="I843" s="432"/>
      <c r="J843" s="431"/>
    </row>
    <row r="844" spans="2:10" s="444" customFormat="1" ht="15">
      <c r="B844" s="454">
        <v>11</v>
      </c>
      <c r="C844" s="368" t="str">
        <f>ORCAMENTO!C419</f>
        <v>BANCADAS, LOUÇAS, METAIS E COMPLEMENTOS</v>
      </c>
      <c r="D844" s="453"/>
      <c r="E844" s="278"/>
      <c r="F844" s="447"/>
      <c r="G844" s="447"/>
      <c r="H844" s="447"/>
      <c r="I844" s="446"/>
      <c r="J844" s="445"/>
    </row>
    <row r="845" spans="2:10" s="444" customFormat="1" ht="15">
      <c r="B845" s="448" t="s">
        <v>687</v>
      </c>
      <c r="C845" s="368" t="str">
        <f>'[5]PLANILHA ORÇAMENTÁRIA'!E227</f>
        <v>BANCADAS</v>
      </c>
      <c r="D845" s="436"/>
      <c r="E845" s="368"/>
      <c r="F845" s="447"/>
      <c r="G845" s="447"/>
      <c r="H845" s="447"/>
      <c r="I845" s="446"/>
      <c r="J845" s="445"/>
    </row>
    <row r="846" spans="2:10" s="449" customFormat="1" ht="15">
      <c r="B846" s="454" t="s">
        <v>1751</v>
      </c>
      <c r="C846" s="368" t="str">
        <f>ORCAMENTO!D421</f>
        <v>BANCADA DE GRANITO CINZA ANDORINHA E=2CM,</v>
      </c>
      <c r="D846" s="453" t="str">
        <f>'[5]PLANILHA ORÇAMENTÁRIA'!F228</f>
        <v>M2</v>
      </c>
      <c r="E846" s="278"/>
      <c r="F846" s="452"/>
      <c r="G846" s="452"/>
      <c r="H846" s="452"/>
      <c r="I846" s="451"/>
      <c r="J846" s="450">
        <f>SUM(J847:J867)</f>
        <v>32.250999999999998</v>
      </c>
    </row>
    <row r="847" spans="2:10" s="444" customFormat="1" ht="15">
      <c r="B847" s="448"/>
      <c r="C847" s="278" t="s">
        <v>1750</v>
      </c>
      <c r="D847" s="436"/>
      <c r="E847" s="278"/>
      <c r="F847" s="447">
        <v>2.29</v>
      </c>
      <c r="G847" s="447">
        <v>0.55000000000000004</v>
      </c>
      <c r="H847" s="447"/>
      <c r="I847" s="446"/>
      <c r="J847" s="445">
        <f t="shared" ref="J847:J855" si="18">F847*G847</f>
        <v>1.2595000000000001</v>
      </c>
    </row>
    <row r="848" spans="2:10" s="444" customFormat="1" ht="15">
      <c r="B848" s="448"/>
      <c r="C848" s="278"/>
      <c r="D848" s="436"/>
      <c r="E848" s="278"/>
      <c r="F848" s="447">
        <v>1.35</v>
      </c>
      <c r="G848" s="447">
        <v>0.55000000000000004</v>
      </c>
      <c r="H848" s="447"/>
      <c r="I848" s="446"/>
      <c r="J848" s="445">
        <f t="shared" si="18"/>
        <v>0.74250000000000016</v>
      </c>
    </row>
    <row r="849" spans="2:10" s="444" customFormat="1" ht="15">
      <c r="B849" s="448"/>
      <c r="C849" s="278" t="s">
        <v>1749</v>
      </c>
      <c r="D849" s="436"/>
      <c r="E849" s="278"/>
      <c r="F849" s="447">
        <v>3.29</v>
      </c>
      <c r="G849" s="447">
        <v>0.55000000000000004</v>
      </c>
      <c r="H849" s="447"/>
      <c r="I849" s="446"/>
      <c r="J849" s="445">
        <f t="shared" si="18"/>
        <v>1.8095000000000001</v>
      </c>
    </row>
    <row r="850" spans="2:10" s="444" customFormat="1" ht="15">
      <c r="B850" s="448"/>
      <c r="C850" s="278" t="s">
        <v>1748</v>
      </c>
      <c r="D850" s="436"/>
      <c r="E850" s="278"/>
      <c r="F850" s="447">
        <v>1.8</v>
      </c>
      <c r="G850" s="447">
        <v>0.55000000000000004</v>
      </c>
      <c r="H850" s="447"/>
      <c r="I850" s="446"/>
      <c r="J850" s="445">
        <f t="shared" si="18"/>
        <v>0.9900000000000001</v>
      </c>
    </row>
    <row r="851" spans="2:10" s="444" customFormat="1" ht="15">
      <c r="B851" s="448"/>
      <c r="C851" s="278" t="s">
        <v>1747</v>
      </c>
      <c r="D851" s="436"/>
      <c r="E851" s="278"/>
      <c r="F851" s="447">
        <v>3.15</v>
      </c>
      <c r="G851" s="447">
        <v>0.55000000000000004</v>
      </c>
      <c r="H851" s="447"/>
      <c r="I851" s="446"/>
      <c r="J851" s="445">
        <f t="shared" si="18"/>
        <v>1.7325000000000002</v>
      </c>
    </row>
    <row r="852" spans="2:10" s="444" customFormat="1" ht="15">
      <c r="B852" s="448"/>
      <c r="C852" s="278" t="s">
        <v>1746</v>
      </c>
      <c r="D852" s="436"/>
      <c r="E852" s="278"/>
      <c r="F852" s="447">
        <v>3.15</v>
      </c>
      <c r="G852" s="447">
        <v>0.55000000000000004</v>
      </c>
      <c r="H852" s="447"/>
      <c r="I852" s="446"/>
      <c r="J852" s="445">
        <f t="shared" si="18"/>
        <v>1.7325000000000002</v>
      </c>
    </row>
    <row r="853" spans="2:10" s="444" customFormat="1" ht="15">
      <c r="B853" s="448"/>
      <c r="C853" s="278" t="s">
        <v>1745</v>
      </c>
      <c r="D853" s="436"/>
      <c r="E853" s="278"/>
      <c r="F853" s="447">
        <v>2.2799999999999998</v>
      </c>
      <c r="G853" s="447">
        <v>0.55000000000000004</v>
      </c>
      <c r="H853" s="447"/>
      <c r="I853" s="446"/>
      <c r="J853" s="445">
        <f t="shared" si="18"/>
        <v>1.254</v>
      </c>
    </row>
    <row r="854" spans="2:10" s="444" customFormat="1" ht="15">
      <c r="B854" s="448"/>
      <c r="C854" s="278"/>
      <c r="D854" s="436"/>
      <c r="E854" s="278"/>
      <c r="F854" s="447">
        <v>2.2999999999999998</v>
      </c>
      <c r="G854" s="447">
        <v>0.55000000000000004</v>
      </c>
      <c r="H854" s="447"/>
      <c r="I854" s="446"/>
      <c r="J854" s="445">
        <f t="shared" si="18"/>
        <v>1.2649999999999999</v>
      </c>
    </row>
    <row r="855" spans="2:10" s="444" customFormat="1" ht="15">
      <c r="B855" s="448"/>
      <c r="C855" s="278" t="s">
        <v>1744</v>
      </c>
      <c r="D855" s="436"/>
      <c r="E855" s="278">
        <v>3</v>
      </c>
      <c r="F855" s="447">
        <v>4.43</v>
      </c>
      <c r="G855" s="447">
        <v>0.55000000000000004</v>
      </c>
      <c r="H855" s="447"/>
      <c r="I855" s="446"/>
      <c r="J855" s="445">
        <f t="shared" si="18"/>
        <v>2.4365000000000001</v>
      </c>
    </row>
    <row r="856" spans="2:10" s="444" customFormat="1" ht="15">
      <c r="B856" s="448"/>
      <c r="C856" s="278" t="s">
        <v>1743</v>
      </c>
      <c r="D856" s="436"/>
      <c r="E856" s="278"/>
      <c r="F856" s="447">
        <f>3.4+2.6</f>
        <v>6</v>
      </c>
      <c r="G856" s="447">
        <v>0.55000000000000004</v>
      </c>
      <c r="H856" s="447"/>
      <c r="I856" s="446"/>
      <c r="J856" s="445">
        <f>F856*G856*E855</f>
        <v>9.9</v>
      </c>
    </row>
    <row r="857" spans="2:10" s="444" customFormat="1" ht="15">
      <c r="B857" s="448"/>
      <c r="C857" s="278" t="s">
        <v>1742</v>
      </c>
      <c r="D857" s="436"/>
      <c r="E857" s="278"/>
      <c r="F857" s="447">
        <v>2.76</v>
      </c>
      <c r="G857" s="447">
        <v>0.55000000000000004</v>
      </c>
      <c r="H857" s="447"/>
      <c r="I857" s="446"/>
      <c r="J857" s="445">
        <f t="shared" ref="J857:J867" si="19">F857*G857</f>
        <v>1.518</v>
      </c>
    </row>
    <row r="858" spans="2:10" s="444" customFormat="1" ht="15">
      <c r="B858" s="448"/>
      <c r="C858" s="278"/>
      <c r="D858" s="436"/>
      <c r="E858" s="278"/>
      <c r="F858" s="447">
        <v>2.23</v>
      </c>
      <c r="G858" s="447">
        <v>0.55000000000000004</v>
      </c>
      <c r="H858" s="447"/>
      <c r="I858" s="446"/>
      <c r="J858" s="445">
        <f t="shared" si="19"/>
        <v>1.2265000000000001</v>
      </c>
    </row>
    <row r="859" spans="2:10" s="444" customFormat="1" ht="15">
      <c r="B859" s="448"/>
      <c r="C859" s="278" t="s">
        <v>1741</v>
      </c>
      <c r="D859" s="436"/>
      <c r="E859" s="278"/>
      <c r="F859" s="447">
        <v>1.8</v>
      </c>
      <c r="G859" s="447">
        <v>0.55000000000000004</v>
      </c>
      <c r="H859" s="447"/>
      <c r="I859" s="446"/>
      <c r="J859" s="445">
        <f t="shared" si="19"/>
        <v>0.9900000000000001</v>
      </c>
    </row>
    <row r="860" spans="2:10" s="444" customFormat="1" ht="15">
      <c r="B860" s="448"/>
      <c r="C860" s="278"/>
      <c r="D860" s="436"/>
      <c r="E860" s="278"/>
      <c r="F860" s="447">
        <v>1.6</v>
      </c>
      <c r="G860" s="447">
        <v>0.55000000000000004</v>
      </c>
      <c r="H860" s="447"/>
      <c r="I860" s="446"/>
      <c r="J860" s="445">
        <f t="shared" si="19"/>
        <v>0.88000000000000012</v>
      </c>
    </row>
    <row r="861" spans="2:10" s="444" customFormat="1" ht="15">
      <c r="B861" s="448"/>
      <c r="C861" s="278" t="s">
        <v>1740</v>
      </c>
      <c r="D861" s="436"/>
      <c r="E861" s="278"/>
      <c r="F861" s="447">
        <v>1.8</v>
      </c>
      <c r="G861" s="447">
        <v>0.55000000000000004</v>
      </c>
      <c r="H861" s="447"/>
      <c r="I861" s="446"/>
      <c r="J861" s="445">
        <f t="shared" si="19"/>
        <v>0.9900000000000001</v>
      </c>
    </row>
    <row r="862" spans="2:10" s="444" customFormat="1" ht="15">
      <c r="B862" s="448"/>
      <c r="C862" s="278"/>
      <c r="D862" s="436"/>
      <c r="E862" s="278"/>
      <c r="F862" s="447">
        <v>1.6</v>
      </c>
      <c r="G862" s="447">
        <v>0.55000000000000004</v>
      </c>
      <c r="H862" s="447"/>
      <c r="I862" s="446"/>
      <c r="J862" s="445">
        <f t="shared" si="19"/>
        <v>0.88000000000000012</v>
      </c>
    </row>
    <row r="863" spans="2:10" s="444" customFormat="1" ht="15">
      <c r="B863" s="448"/>
      <c r="C863" s="278" t="s">
        <v>1739</v>
      </c>
      <c r="D863" s="436"/>
      <c r="E863" s="278"/>
      <c r="F863" s="447">
        <v>1.75</v>
      </c>
      <c r="G863" s="447">
        <v>0.55000000000000004</v>
      </c>
      <c r="H863" s="447"/>
      <c r="I863" s="446"/>
      <c r="J863" s="445">
        <f t="shared" si="19"/>
        <v>0.96250000000000013</v>
      </c>
    </row>
    <row r="864" spans="2:10" s="444" customFormat="1" ht="15">
      <c r="B864" s="448"/>
      <c r="C864" s="278" t="s">
        <v>1715</v>
      </c>
      <c r="D864" s="436"/>
      <c r="E864" s="278"/>
      <c r="F864" s="447">
        <v>0.97</v>
      </c>
      <c r="G864" s="447">
        <v>0.3</v>
      </c>
      <c r="H864" s="447"/>
      <c r="I864" s="446"/>
      <c r="J864" s="445">
        <f t="shared" si="19"/>
        <v>0.29099999999999998</v>
      </c>
    </row>
    <row r="865" spans="2:10" s="444" customFormat="1" ht="15">
      <c r="B865" s="448"/>
      <c r="C865" s="278"/>
      <c r="D865" s="436"/>
      <c r="E865" s="278"/>
      <c r="F865" s="447">
        <v>0.97</v>
      </c>
      <c r="G865" s="447">
        <v>0.3</v>
      </c>
      <c r="H865" s="447"/>
      <c r="I865" s="446"/>
      <c r="J865" s="445">
        <f t="shared" si="19"/>
        <v>0.29099999999999998</v>
      </c>
    </row>
    <row r="866" spans="2:10" s="444" customFormat="1" ht="15">
      <c r="B866" s="448"/>
      <c r="C866" s="278" t="s">
        <v>1738</v>
      </c>
      <c r="D866" s="436"/>
      <c r="E866" s="278"/>
      <c r="F866" s="447">
        <v>1</v>
      </c>
      <c r="G866" s="447">
        <v>0.55000000000000004</v>
      </c>
      <c r="H866" s="447"/>
      <c r="I866" s="446"/>
      <c r="J866" s="445">
        <f t="shared" si="19"/>
        <v>0.55000000000000004</v>
      </c>
    </row>
    <row r="867" spans="2:10" s="444" customFormat="1" ht="15">
      <c r="B867" s="448"/>
      <c r="C867" s="278" t="s">
        <v>1737</v>
      </c>
      <c r="D867" s="436"/>
      <c r="E867" s="278"/>
      <c r="F867" s="447">
        <v>1</v>
      </c>
      <c r="G867" s="447">
        <v>0.55000000000000004</v>
      </c>
      <c r="H867" s="447"/>
      <c r="I867" s="446"/>
      <c r="J867" s="445">
        <f t="shared" si="19"/>
        <v>0.55000000000000004</v>
      </c>
    </row>
    <row r="868" spans="2:10" s="444" customFormat="1" ht="15">
      <c r="B868" s="448"/>
      <c r="C868" s="278"/>
      <c r="D868" s="436"/>
      <c r="E868" s="278"/>
      <c r="F868" s="447"/>
      <c r="G868" s="447"/>
      <c r="H868" s="447"/>
      <c r="I868" s="446"/>
      <c r="J868" s="445"/>
    </row>
    <row r="869" spans="2:10" s="444" customFormat="1" ht="15">
      <c r="B869" s="448"/>
      <c r="C869" s="278"/>
      <c r="D869" s="436"/>
      <c r="E869" s="278"/>
      <c r="F869" s="447"/>
      <c r="G869" s="447"/>
      <c r="H869" s="447"/>
      <c r="I869" s="446"/>
      <c r="J869" s="445"/>
    </row>
    <row r="870" spans="2:10" s="444" customFormat="1" ht="15">
      <c r="B870" s="448" t="s">
        <v>710</v>
      </c>
      <c r="C870" s="368" t="str">
        <f>'[5]PLANILHA ORÇAMENTÁRIA'!E229</f>
        <v>LOUÇAS</v>
      </c>
      <c r="D870" s="436"/>
      <c r="E870" s="278"/>
      <c r="F870" s="447"/>
      <c r="G870" s="447"/>
      <c r="H870" s="447"/>
      <c r="I870" s="446"/>
      <c r="J870" s="445"/>
    </row>
    <row r="871" spans="2:10" s="444" customFormat="1" ht="25.5">
      <c r="B871" s="448" t="s">
        <v>712</v>
      </c>
      <c r="C871" s="278" t="str">
        <f>ORCAMENTO!D423</f>
        <v>VASO SANITARIO SIFONADO CONVENCIONAL COM  LOUÇA BRANCA - FORNECIMENTO E INSTALAÇÃO. AF_10/2016</v>
      </c>
      <c r="D871" s="436" t="str">
        <f>'[5]PLANILHA ORÇAMENTÁRIA'!F230</f>
        <v>UN</v>
      </c>
      <c r="E871" s="278"/>
      <c r="F871" s="447"/>
      <c r="G871" s="447"/>
      <c r="H871" s="447"/>
      <c r="I871" s="446" t="s">
        <v>1736</v>
      </c>
      <c r="J871" s="445">
        <v>11</v>
      </c>
    </row>
    <row r="872" spans="2:10" s="444" customFormat="1" ht="51">
      <c r="B872" s="448" t="s">
        <v>714</v>
      </c>
      <c r="C872" s="278" t="s">
        <v>1626</v>
      </c>
      <c r="D872" s="436" t="str">
        <f>'[5]PLANILHA ORÇAMENTÁRIA'!F231</f>
        <v>UN</v>
      </c>
      <c r="E872" s="278"/>
      <c r="F872" s="447"/>
      <c r="G872" s="447"/>
      <c r="H872" s="447"/>
      <c r="I872" s="446" t="s">
        <v>1728</v>
      </c>
      <c r="J872" s="445">
        <v>1</v>
      </c>
    </row>
    <row r="873" spans="2:10" s="444" customFormat="1" ht="25.5">
      <c r="B873" s="448" t="s">
        <v>716</v>
      </c>
      <c r="C873" s="278" t="str">
        <f>ORCAMENTO!D425</f>
        <v>Valvula de descarga 1 1/2", com registro, acabamento em metal cromado - fornecimento e instalação</v>
      </c>
      <c r="D873" s="436" t="str">
        <f>'[5]PLANILHA ORÇAMENTÁRIA'!F232</f>
        <v>UN</v>
      </c>
      <c r="E873" s="278"/>
      <c r="F873" s="447"/>
      <c r="G873" s="447"/>
      <c r="H873" s="447"/>
      <c r="I873" s="446" t="s">
        <v>1735</v>
      </c>
      <c r="J873" s="445">
        <v>12</v>
      </c>
    </row>
    <row r="874" spans="2:10" s="444" customFormat="1" ht="45">
      <c r="B874" s="448" t="s">
        <v>718</v>
      </c>
      <c r="C874" s="278" t="str">
        <f>ORCAMENTO!D426</f>
        <v>CUBA DE EMBUTIR DE AÇO INOXIDÁVEL MÉDIA, INCLUSO VÁLVULA TIPO AMERICANA E SIFÃO TIPO GARRAFA EM METAL CROMADO - FORNECIMENTO E INSTALAÇÃO. AF_12/2013</v>
      </c>
      <c r="D874" s="436" t="str">
        <f>'[5]PLANILHA ORÇAMENTÁRIA'!F233</f>
        <v>UN</v>
      </c>
      <c r="E874" s="278"/>
      <c r="F874" s="447"/>
      <c r="G874" s="447"/>
      <c r="H874" s="447"/>
      <c r="I874" s="446" t="s">
        <v>1734</v>
      </c>
      <c r="J874" s="445">
        <v>14</v>
      </c>
    </row>
    <row r="875" spans="2:10" s="444" customFormat="1" ht="38.25">
      <c r="B875" s="448" t="s">
        <v>720</v>
      </c>
      <c r="C875" s="278" t="str">
        <f>ORCAMENTO!D427</f>
        <v>Cuba de Embutir Oval cor Branco Gelo, código L.37, DECA, ou equivalente, em bancada ecomplementos (válvula, sifao e engate flexível cromados), exceto torneira.</v>
      </c>
      <c r="D875" s="436" t="str">
        <f>'[5]PLANILHA ORÇAMENTÁRIA'!F234</f>
        <v>UN</v>
      </c>
      <c r="E875" s="278"/>
      <c r="F875" s="447"/>
      <c r="G875" s="447"/>
      <c r="H875" s="447"/>
      <c r="I875" s="446" t="s">
        <v>1715</v>
      </c>
      <c r="J875" s="445">
        <v>4</v>
      </c>
    </row>
    <row r="876" spans="2:10" s="444" customFormat="1" ht="45">
      <c r="B876" s="448" t="s">
        <v>722</v>
      </c>
      <c r="C876" s="278" t="str">
        <f>ORCAMENTO!D428</f>
        <v>Lavatório pequeno Ravena/Izy cor branco gelo, com coluna suspensa, código L915 DECA ou equivalente</v>
      </c>
      <c r="D876" s="436" t="str">
        <f>'[5]PLANILHA ORÇAMENTÁRIA'!F235</f>
        <v>UN</v>
      </c>
      <c r="E876" s="278"/>
      <c r="F876" s="447"/>
      <c r="G876" s="447"/>
      <c r="H876" s="447"/>
      <c r="I876" s="446" t="s">
        <v>1733</v>
      </c>
      <c r="J876" s="445">
        <v>16</v>
      </c>
    </row>
    <row r="877" spans="2:10" s="444" customFormat="1" ht="25.5">
      <c r="B877" s="448" t="s">
        <v>1732</v>
      </c>
      <c r="C877" s="278" t="str">
        <f>ORCAMENTO!D429</f>
        <v>Tanque Grande (40 L) cor Branco Gelo, código TQ.03, DECA, ou equivalente incluso torneira cromada</v>
      </c>
      <c r="D877" s="436" t="str">
        <f>'[5]PLANILHA ORÇAMENTÁRIA'!F236</f>
        <v>UN</v>
      </c>
      <c r="E877" s="278"/>
      <c r="F877" s="447"/>
      <c r="G877" s="447"/>
      <c r="H877" s="447"/>
      <c r="I877" s="446" t="s">
        <v>1726</v>
      </c>
      <c r="J877" s="445">
        <v>1</v>
      </c>
    </row>
    <row r="878" spans="2:10" s="444" customFormat="1" ht="15">
      <c r="B878" s="448" t="s">
        <v>1731</v>
      </c>
      <c r="C878" s="368" t="str">
        <f>'[5]PLANILHA ORÇAMENTÁRIA'!E237</f>
        <v>METAIS</v>
      </c>
      <c r="D878" s="436"/>
      <c r="E878" s="278"/>
      <c r="F878" s="447"/>
      <c r="G878" s="447"/>
      <c r="H878" s="447"/>
      <c r="I878" s="446"/>
      <c r="J878" s="445"/>
    </row>
    <row r="879" spans="2:10" s="444" customFormat="1" ht="25.5">
      <c r="B879" s="448" t="s">
        <v>1730</v>
      </c>
      <c r="C879" s="278" t="str">
        <f>ORCAMENTO!D431</f>
        <v>BARRA DE APOIO LAVATORIO DE CANTO, EM ACO INOX POLIDO, DIAMETRO MINIMO 3 CM.</v>
      </c>
      <c r="D879" s="436" t="str">
        <f>'[5]PLANILHA ORÇAMENTÁRIA'!F239</f>
        <v>UN</v>
      </c>
      <c r="E879" s="278"/>
      <c r="F879" s="447"/>
      <c r="G879" s="447"/>
      <c r="H879" s="447"/>
      <c r="I879" s="446" t="s">
        <v>1728</v>
      </c>
      <c r="J879" s="445">
        <v>1</v>
      </c>
    </row>
    <row r="880" spans="2:10" s="444" customFormat="1" ht="25.5">
      <c r="B880" s="448" t="s">
        <v>1729</v>
      </c>
      <c r="C880" s="278" t="str">
        <f>ORCAMENTO!D432</f>
        <v>BARRA DE APOIO RETA, EM ACO INOX POLIDO, COMPRIMENTO 80CM, DIAMETRO MINIMO 3 CM</v>
      </c>
      <c r="D880" s="436" t="str">
        <f>'[5]PLANILHA ORÇAMENTÁRIA'!F240</f>
        <v>UN</v>
      </c>
      <c r="E880" s="278"/>
      <c r="F880" s="447"/>
      <c r="G880" s="447"/>
      <c r="H880" s="447"/>
      <c r="I880" s="446" t="s">
        <v>1728</v>
      </c>
      <c r="J880" s="445">
        <v>1</v>
      </c>
    </row>
    <row r="881" spans="2:10" s="444" customFormat="1" ht="15">
      <c r="B881" s="448" t="s">
        <v>1727</v>
      </c>
      <c r="C881" s="278" t="str">
        <f>ORCAMENTO!D434</f>
        <v>Torneira de parede de uso geral para jardim ou tanque</v>
      </c>
      <c r="D881" s="436" t="str">
        <f>'[5]PLANILHA ORÇAMENTÁRIA'!F242</f>
        <v>UN</v>
      </c>
      <c r="E881" s="278"/>
      <c r="F881" s="447"/>
      <c r="G881" s="447"/>
      <c r="H881" s="447"/>
      <c r="I881" s="446" t="s">
        <v>1726</v>
      </c>
      <c r="J881" s="445">
        <v>1</v>
      </c>
    </row>
    <row r="882" spans="2:10" s="444" customFormat="1" ht="25.5">
      <c r="B882" s="448" t="s">
        <v>1725</v>
      </c>
      <c r="C882" s="278" t="str">
        <f>ORCAMENTO!D435</f>
        <v>Torneira para lavatório de mesa bica baixa Izy, código 1193.C37, Deca ou equivalente</v>
      </c>
      <c r="D882" s="436" t="str">
        <f>'[5]PLANILHA ORÇAMENTÁRIA'!F243</f>
        <v>UN</v>
      </c>
      <c r="E882" s="278"/>
      <c r="F882" s="447"/>
      <c r="G882" s="447"/>
      <c r="H882" s="447"/>
      <c r="I882" s="446" t="s">
        <v>1724</v>
      </c>
      <c r="J882" s="445">
        <v>34</v>
      </c>
    </row>
    <row r="883" spans="2:10" s="444" customFormat="1" ht="15">
      <c r="B883" s="448" t="s">
        <v>1723</v>
      </c>
      <c r="C883" s="368" t="str">
        <f>'[5]PLANILHA ORÇAMENTÁRIA'!E244</f>
        <v>ACESSÓRIOS</v>
      </c>
      <c r="D883" s="436"/>
      <c r="E883" s="278"/>
      <c r="F883" s="447"/>
      <c r="G883" s="447"/>
      <c r="H883" s="447"/>
      <c r="I883" s="446"/>
      <c r="J883" s="445"/>
    </row>
    <row r="884" spans="2:10" s="444" customFormat="1" ht="25.5">
      <c r="B884" s="448" t="s">
        <v>1722</v>
      </c>
      <c r="C884" s="278" t="str">
        <f>ORCAMENTO!D437</f>
        <v>PAPELEIRA PLASTICA TIPO DISPENSER PARA PAPEL HIGIENICO ROLAO (EQUIVALENTE A SABONETEIRA PLASTICA)</v>
      </c>
      <c r="D884" s="436" t="str">
        <f>'[5]PLANILHA ORÇAMENTÁRIA'!F245</f>
        <v>UN</v>
      </c>
      <c r="E884" s="278"/>
      <c r="F884" s="447"/>
      <c r="G884" s="447"/>
      <c r="H884" s="447"/>
      <c r="I884" s="446" t="s">
        <v>1721</v>
      </c>
      <c r="J884" s="445">
        <v>12</v>
      </c>
    </row>
    <row r="885" spans="2:10" s="444" customFormat="1" ht="25.5">
      <c r="B885" s="448" t="s">
        <v>1720</v>
      </c>
      <c r="C885" s="278" t="str">
        <f>ORCAMENTO!D438</f>
        <v>TOALHEIRO PLASTICO TIPO DISPENSER PARA PAPEL TOALHA INTERFOLHADO (EQUIVALENTE A SABONETEIRA PLASTICA)</v>
      </c>
      <c r="D885" s="436" t="str">
        <f>'[5]PLANILHA ORÇAMENTÁRIA'!F246</f>
        <v>UN</v>
      </c>
      <c r="E885" s="278"/>
      <c r="F885" s="447"/>
      <c r="G885" s="447"/>
      <c r="H885" s="447"/>
      <c r="I885" s="446" t="s">
        <v>1719</v>
      </c>
      <c r="J885" s="445">
        <v>34</v>
      </c>
    </row>
    <row r="886" spans="2:10" s="444" customFormat="1" ht="25.5">
      <c r="B886" s="448" t="s">
        <v>1718</v>
      </c>
      <c r="C886" s="278" t="str">
        <f>ORCAMENTO!D439</f>
        <v>SABONETEIRA PLASTICA TIPO DISPENSER PARA SABONETE LIQUIDO COM RESERVATORIO 800 A 1500 ML, INCLUSO FIXAÇÃO. AF_10/2016</v>
      </c>
      <c r="D886" s="436" t="str">
        <f>'[5]PLANILHA ORÇAMENTÁRIA'!F247</f>
        <v>UN</v>
      </c>
      <c r="E886" s="442"/>
      <c r="F886" s="447"/>
      <c r="G886" s="447"/>
      <c r="H886" s="447"/>
      <c r="I886" s="446" t="s">
        <v>1717</v>
      </c>
      <c r="J886" s="445">
        <v>34</v>
      </c>
    </row>
    <row r="887" spans="2:10" ht="15">
      <c r="B887" s="434"/>
      <c r="C887" s="442"/>
      <c r="D887" s="442"/>
      <c r="E887" s="179"/>
      <c r="F887" s="433"/>
      <c r="G887" s="433"/>
      <c r="H887" s="433"/>
      <c r="I887" s="432"/>
      <c r="J887" s="431"/>
    </row>
    <row r="888" spans="2:10" ht="15">
      <c r="B888" s="434">
        <v>12</v>
      </c>
      <c r="C888" s="123" t="s">
        <v>778</v>
      </c>
      <c r="D888" s="123"/>
      <c r="E888" s="443"/>
      <c r="F888" s="433"/>
      <c r="G888" s="433"/>
      <c r="H888" s="433"/>
      <c r="I888" s="432" t="s">
        <v>1716</v>
      </c>
      <c r="J888" s="431"/>
    </row>
    <row r="889" spans="2:10" ht="15">
      <c r="B889" s="434"/>
      <c r="C889" s="442"/>
      <c r="D889" s="442"/>
      <c r="E889" s="441"/>
      <c r="F889" s="433"/>
      <c r="G889" s="433"/>
      <c r="H889" s="433"/>
      <c r="I889" s="432"/>
      <c r="J889" s="431"/>
    </row>
    <row r="890" spans="2:10">
      <c r="B890" s="434">
        <v>13</v>
      </c>
      <c r="C890" s="123" t="s">
        <v>799</v>
      </c>
      <c r="D890" s="123"/>
      <c r="E890" s="278"/>
      <c r="F890" s="440"/>
      <c r="G890" s="439"/>
      <c r="H890" s="439"/>
      <c r="I890" s="438"/>
      <c r="J890" s="438"/>
    </row>
    <row r="891" spans="2:10" ht="38.25">
      <c r="B891" s="437" t="s">
        <v>1612</v>
      </c>
      <c r="C891" s="278" t="str">
        <f>ORCAMENTO!D479</f>
        <v>MICRO EXAUSTOR,INCLUSIVE VENEZIANAS,ADAPTADOR E TUBO FLEXIVEL,PARA AMBIENTES ATE 7M3.FORNECIMENTO E COLOCACAO (PARA USO EM BANHEIRO)</v>
      </c>
      <c r="D891" s="436" t="str">
        <f>'[5]PLANILHA ORÇAMENTÁRIA'!F335</f>
        <v>un</v>
      </c>
      <c r="E891" s="123"/>
      <c r="F891" s="433"/>
      <c r="G891" s="433"/>
      <c r="H891" s="433"/>
      <c r="I891" s="435" t="s">
        <v>1715</v>
      </c>
      <c r="J891" s="431">
        <v>11</v>
      </c>
    </row>
    <row r="892" spans="2:10" ht="15">
      <c r="B892" s="434">
        <v>14</v>
      </c>
      <c r="C892" s="123" t="s">
        <v>810</v>
      </c>
      <c r="D892" s="123"/>
      <c r="E892" s="75"/>
      <c r="F892" s="433"/>
      <c r="G892" s="433"/>
      <c r="H892" s="433"/>
      <c r="I892" s="432"/>
      <c r="J892" s="431"/>
    </row>
    <row r="893" spans="2:10" ht="15.75" thickBot="1">
      <c r="B893" s="430" t="s">
        <v>1714</v>
      </c>
      <c r="C893" s="429" t="str">
        <f>ORCAMENTO!D481</f>
        <v>Limpeza final da obra</v>
      </c>
      <c r="D893" s="428" t="str">
        <f>'[5]PLANILHA ORÇAMENTÁRIA'!F350</f>
        <v>M2</v>
      </c>
      <c r="E893" s="427"/>
      <c r="F893" s="426">
        <v>46.25</v>
      </c>
      <c r="G893" s="426">
        <v>19.25</v>
      </c>
      <c r="H893" s="426"/>
      <c r="I893" s="425"/>
      <c r="J893" s="424">
        <f>F893*G893</f>
        <v>890.3125</v>
      </c>
    </row>
    <row r="894" spans="2:10">
      <c r="F894" s="423"/>
      <c r="G894" s="423"/>
      <c r="H894" s="423"/>
      <c r="I894" s="422"/>
      <c r="J894" s="418"/>
    </row>
    <row r="895" spans="2:10">
      <c r="F895" s="420"/>
      <c r="G895" s="420"/>
      <c r="H895" s="420"/>
      <c r="I895" s="421"/>
      <c r="J895" s="418"/>
    </row>
    <row r="896" spans="2:10">
      <c r="F896" s="420"/>
      <c r="G896" s="420"/>
      <c r="H896" s="420"/>
      <c r="I896" s="418"/>
      <c r="J896" s="418"/>
    </row>
    <row r="897" spans="6:10">
      <c r="F897" s="420"/>
      <c r="G897" s="420"/>
      <c r="H897" s="420"/>
      <c r="I897" s="418"/>
      <c r="J897" s="418"/>
    </row>
    <row r="898" spans="6:10">
      <c r="F898" s="420"/>
      <c r="G898" s="420"/>
      <c r="H898" s="420"/>
      <c r="I898" s="418"/>
      <c r="J898" s="418"/>
    </row>
    <row r="899" spans="6:10">
      <c r="F899" s="420"/>
      <c r="G899" s="420"/>
      <c r="H899" s="420"/>
      <c r="I899" s="418"/>
      <c r="J899" s="418"/>
    </row>
    <row r="900" spans="6:10">
      <c r="F900" s="420"/>
      <c r="G900" s="420"/>
      <c r="H900" s="420"/>
      <c r="I900" s="418"/>
      <c r="J900" s="418"/>
    </row>
    <row r="901" spans="6:10">
      <c r="F901" s="420"/>
      <c r="G901" s="420"/>
      <c r="H901" s="420"/>
      <c r="I901" s="418"/>
      <c r="J901" s="418"/>
    </row>
    <row r="902" spans="6:10">
      <c r="F902" s="420"/>
      <c r="G902" s="420"/>
      <c r="H902" s="420"/>
      <c r="I902" s="418"/>
      <c r="J902" s="418"/>
    </row>
    <row r="903" spans="6:10">
      <c r="F903" s="420"/>
      <c r="G903" s="420"/>
      <c r="H903" s="420"/>
      <c r="I903" s="418"/>
      <c r="J903" s="418"/>
    </row>
    <row r="904" spans="6:10">
      <c r="F904" s="420"/>
      <c r="G904" s="420"/>
      <c r="H904" s="420"/>
      <c r="I904" s="418"/>
      <c r="J904" s="418"/>
    </row>
    <row r="905" spans="6:10">
      <c r="F905" s="420"/>
      <c r="G905" s="420"/>
      <c r="H905" s="420"/>
      <c r="I905" s="418"/>
      <c r="J905" s="418"/>
    </row>
    <row r="906" spans="6:10">
      <c r="F906" s="420"/>
      <c r="G906" s="420"/>
      <c r="H906" s="420"/>
      <c r="I906" s="418"/>
      <c r="J906" s="418"/>
    </row>
    <row r="907" spans="6:10">
      <c r="F907" s="420"/>
      <c r="G907" s="420"/>
      <c r="H907" s="420"/>
      <c r="I907" s="418"/>
      <c r="J907" s="418"/>
    </row>
    <row r="908" spans="6:10">
      <c r="F908" s="420"/>
      <c r="G908" s="420"/>
      <c r="H908" s="420"/>
      <c r="I908" s="418"/>
      <c r="J908" s="418"/>
    </row>
    <row r="909" spans="6:10">
      <c r="F909" s="420"/>
      <c r="G909" s="420"/>
      <c r="H909" s="420"/>
      <c r="I909" s="418"/>
      <c r="J909" s="418"/>
    </row>
    <row r="910" spans="6:10">
      <c r="F910" s="420"/>
      <c r="G910" s="420"/>
      <c r="H910" s="420"/>
      <c r="I910" s="418"/>
      <c r="J910" s="418"/>
    </row>
    <row r="911" spans="6:10">
      <c r="F911" s="420"/>
      <c r="G911" s="420"/>
      <c r="H911" s="420"/>
      <c r="I911" s="418"/>
      <c r="J911" s="418"/>
    </row>
    <row r="912" spans="6:10">
      <c r="F912" s="420"/>
      <c r="G912" s="420"/>
      <c r="H912" s="420"/>
      <c r="I912" s="418"/>
      <c r="J912" s="418"/>
    </row>
    <row r="913" spans="6:10">
      <c r="F913" s="420"/>
      <c r="G913" s="420"/>
      <c r="H913" s="420"/>
      <c r="I913" s="418"/>
      <c r="J913" s="418"/>
    </row>
    <row r="914" spans="6:10">
      <c r="F914" s="420"/>
      <c r="G914" s="420"/>
      <c r="H914" s="420"/>
      <c r="I914" s="418"/>
      <c r="J914" s="418"/>
    </row>
    <row r="915" spans="6:10">
      <c r="F915" s="420"/>
      <c r="G915" s="420"/>
      <c r="H915" s="420"/>
      <c r="I915" s="418"/>
      <c r="J915" s="418"/>
    </row>
    <row r="916" spans="6:10">
      <c r="F916" s="420"/>
      <c r="G916" s="420"/>
      <c r="H916" s="420"/>
      <c r="I916" s="418"/>
      <c r="J916" s="418"/>
    </row>
    <row r="917" spans="6:10">
      <c r="F917" s="420"/>
      <c r="G917" s="420"/>
      <c r="H917" s="420"/>
      <c r="I917" s="418"/>
      <c r="J917" s="418"/>
    </row>
    <row r="918" spans="6:10">
      <c r="F918" s="420"/>
      <c r="G918" s="420"/>
      <c r="H918" s="420"/>
      <c r="I918" s="418"/>
      <c r="J918" s="418"/>
    </row>
    <row r="919" spans="6:10">
      <c r="F919" s="420"/>
      <c r="G919" s="420"/>
      <c r="H919" s="420"/>
      <c r="I919" s="418"/>
      <c r="J919" s="418"/>
    </row>
    <row r="920" spans="6:10">
      <c r="F920" s="420"/>
      <c r="G920" s="420"/>
      <c r="H920" s="420"/>
      <c r="I920" s="418"/>
      <c r="J920" s="418"/>
    </row>
    <row r="921" spans="6:10">
      <c r="F921" s="420"/>
      <c r="G921" s="420"/>
      <c r="H921" s="420"/>
      <c r="I921" s="418"/>
      <c r="J921" s="418"/>
    </row>
    <row r="922" spans="6:10">
      <c r="F922" s="420"/>
      <c r="G922" s="420"/>
      <c r="H922" s="420"/>
      <c r="I922" s="418"/>
      <c r="J922" s="418"/>
    </row>
    <row r="923" spans="6:10">
      <c r="F923" s="420"/>
      <c r="G923" s="420"/>
      <c r="H923" s="420"/>
      <c r="I923" s="418"/>
      <c r="J923" s="418"/>
    </row>
    <row r="924" spans="6:10">
      <c r="F924" s="420"/>
      <c r="G924" s="420"/>
      <c r="H924" s="420"/>
      <c r="I924" s="418"/>
      <c r="J924" s="418"/>
    </row>
    <row r="925" spans="6:10">
      <c r="F925" s="420"/>
      <c r="G925" s="420"/>
      <c r="H925" s="420"/>
      <c r="I925" s="418"/>
      <c r="J925" s="418"/>
    </row>
    <row r="926" spans="6:10">
      <c r="F926" s="420"/>
      <c r="G926" s="420"/>
      <c r="H926" s="420"/>
      <c r="I926" s="418"/>
      <c r="J926" s="418"/>
    </row>
    <row r="927" spans="6:10">
      <c r="F927" s="420"/>
      <c r="G927" s="420"/>
      <c r="H927" s="420"/>
      <c r="I927" s="418"/>
      <c r="J927" s="418"/>
    </row>
    <row r="928" spans="6:10">
      <c r="F928" s="420"/>
      <c r="G928" s="420"/>
      <c r="H928" s="420"/>
      <c r="I928" s="418"/>
      <c r="J928" s="418"/>
    </row>
    <row r="929" spans="6:10">
      <c r="F929" s="420"/>
      <c r="G929" s="420"/>
      <c r="H929" s="420"/>
      <c r="I929" s="418"/>
      <c r="J929" s="418"/>
    </row>
    <row r="930" spans="6:10">
      <c r="F930" s="420"/>
      <c r="G930" s="420"/>
      <c r="H930" s="420"/>
      <c r="I930" s="418"/>
      <c r="J930" s="418"/>
    </row>
    <row r="931" spans="6:10">
      <c r="F931" s="420"/>
      <c r="G931" s="420"/>
      <c r="H931" s="420"/>
      <c r="I931" s="418"/>
      <c r="J931" s="418"/>
    </row>
    <row r="932" spans="6:10">
      <c r="F932" s="420"/>
      <c r="G932" s="420"/>
      <c r="H932" s="420"/>
      <c r="I932" s="418"/>
      <c r="J932" s="418"/>
    </row>
    <row r="933" spans="6:10">
      <c r="F933" s="420"/>
      <c r="G933" s="420"/>
      <c r="H933" s="420"/>
      <c r="I933" s="418"/>
      <c r="J933" s="418"/>
    </row>
    <row r="934" spans="6:10">
      <c r="F934" s="420"/>
      <c r="G934" s="420"/>
      <c r="H934" s="420"/>
      <c r="I934" s="418"/>
      <c r="J934" s="418"/>
    </row>
    <row r="935" spans="6:10">
      <c r="F935" s="420"/>
      <c r="G935" s="420"/>
      <c r="H935" s="420"/>
      <c r="I935" s="418"/>
      <c r="J935" s="418"/>
    </row>
    <row r="936" spans="6:10">
      <c r="F936" s="420"/>
      <c r="G936" s="420"/>
      <c r="H936" s="420"/>
      <c r="I936" s="418"/>
      <c r="J936" s="418"/>
    </row>
    <row r="937" spans="6:10">
      <c r="F937" s="420"/>
      <c r="G937" s="420"/>
      <c r="H937" s="420"/>
      <c r="I937" s="418"/>
      <c r="J937" s="418"/>
    </row>
    <row r="938" spans="6:10">
      <c r="F938" s="420"/>
      <c r="G938" s="420"/>
      <c r="H938" s="420"/>
      <c r="I938" s="418"/>
      <c r="J938" s="418"/>
    </row>
    <row r="939" spans="6:10">
      <c r="F939" s="420"/>
      <c r="G939" s="420"/>
      <c r="H939" s="420"/>
      <c r="I939" s="418"/>
      <c r="J939" s="418"/>
    </row>
    <row r="940" spans="6:10">
      <c r="F940" s="420"/>
      <c r="G940" s="420"/>
      <c r="H940" s="420"/>
      <c r="I940" s="418"/>
      <c r="J940" s="418"/>
    </row>
    <row r="941" spans="6:10">
      <c r="F941" s="420"/>
      <c r="G941" s="420"/>
      <c r="H941" s="420"/>
      <c r="I941" s="418"/>
      <c r="J941" s="418"/>
    </row>
    <row r="942" spans="6:10">
      <c r="F942" s="420"/>
      <c r="G942" s="420"/>
      <c r="H942" s="420"/>
      <c r="I942" s="418"/>
      <c r="J942" s="418"/>
    </row>
    <row r="943" spans="6:10">
      <c r="F943" s="420"/>
      <c r="G943" s="420"/>
      <c r="H943" s="420"/>
      <c r="I943" s="418"/>
      <c r="J943" s="418"/>
    </row>
    <row r="944" spans="6:10">
      <c r="F944" s="420"/>
      <c r="G944" s="420"/>
      <c r="H944" s="420"/>
      <c r="I944" s="418"/>
      <c r="J944" s="418"/>
    </row>
    <row r="945" spans="6:10">
      <c r="F945" s="420"/>
      <c r="G945" s="420"/>
      <c r="H945" s="420"/>
      <c r="I945" s="418"/>
      <c r="J945" s="418"/>
    </row>
    <row r="946" spans="6:10">
      <c r="F946" s="420"/>
      <c r="G946" s="420"/>
      <c r="H946" s="420"/>
      <c r="I946" s="418"/>
      <c r="J946" s="418"/>
    </row>
    <row r="947" spans="6:10">
      <c r="F947" s="420"/>
      <c r="G947" s="420"/>
      <c r="H947" s="420"/>
      <c r="I947" s="418"/>
      <c r="J947" s="418"/>
    </row>
    <row r="948" spans="6:10">
      <c r="F948" s="420"/>
      <c r="G948" s="420"/>
      <c r="H948" s="420"/>
      <c r="I948" s="418"/>
      <c r="J948" s="418"/>
    </row>
    <row r="949" spans="6:10">
      <c r="F949" s="420"/>
      <c r="G949" s="420"/>
      <c r="H949" s="420"/>
      <c r="I949" s="418"/>
      <c r="J949" s="418"/>
    </row>
    <row r="950" spans="6:10">
      <c r="F950" s="420"/>
      <c r="G950" s="420"/>
      <c r="H950" s="420"/>
      <c r="I950" s="418"/>
      <c r="J950" s="418"/>
    </row>
    <row r="951" spans="6:10">
      <c r="F951" s="420"/>
      <c r="G951" s="420"/>
      <c r="H951" s="420"/>
      <c r="I951" s="418"/>
      <c r="J951" s="418"/>
    </row>
    <row r="952" spans="6:10">
      <c r="F952" s="420"/>
      <c r="G952" s="420"/>
      <c r="H952" s="420"/>
      <c r="I952" s="418"/>
      <c r="J952" s="418"/>
    </row>
    <row r="953" spans="6:10">
      <c r="F953" s="420"/>
      <c r="G953" s="420"/>
      <c r="H953" s="420"/>
      <c r="I953" s="418"/>
      <c r="J953" s="418"/>
    </row>
    <row r="954" spans="6:10">
      <c r="F954" s="420"/>
      <c r="G954" s="420"/>
      <c r="H954" s="420"/>
      <c r="I954" s="418"/>
      <c r="J954" s="418"/>
    </row>
    <row r="955" spans="6:10">
      <c r="F955" s="420"/>
      <c r="G955" s="420"/>
      <c r="H955" s="420"/>
      <c r="I955" s="418"/>
      <c r="J955" s="418"/>
    </row>
    <row r="956" spans="6:10">
      <c r="F956" s="420"/>
      <c r="G956" s="420"/>
      <c r="H956" s="420"/>
      <c r="I956" s="418"/>
      <c r="J956" s="418"/>
    </row>
    <row r="957" spans="6:10">
      <c r="F957" s="420"/>
      <c r="G957" s="420"/>
      <c r="H957" s="420"/>
      <c r="I957" s="418"/>
      <c r="J957" s="418"/>
    </row>
    <row r="958" spans="6:10">
      <c r="F958" s="420"/>
      <c r="G958" s="420"/>
      <c r="H958" s="420"/>
      <c r="I958" s="418"/>
      <c r="J958" s="418"/>
    </row>
    <row r="959" spans="6:10">
      <c r="F959" s="420"/>
      <c r="G959" s="420"/>
      <c r="H959" s="420"/>
      <c r="I959" s="418"/>
      <c r="J959" s="418"/>
    </row>
    <row r="960" spans="6:10">
      <c r="F960" s="420"/>
      <c r="G960" s="420"/>
      <c r="H960" s="420"/>
      <c r="I960" s="418"/>
      <c r="J960" s="418"/>
    </row>
    <row r="961" spans="6:10">
      <c r="F961" s="420"/>
      <c r="G961" s="420"/>
      <c r="H961" s="420"/>
      <c r="I961" s="418"/>
      <c r="J961" s="418"/>
    </row>
    <row r="962" spans="6:10">
      <c r="F962" s="420"/>
      <c r="G962" s="420"/>
      <c r="H962" s="420"/>
      <c r="I962" s="418"/>
      <c r="J962" s="418"/>
    </row>
    <row r="963" spans="6:10">
      <c r="F963" s="420"/>
      <c r="G963" s="420"/>
      <c r="H963" s="420"/>
      <c r="I963" s="418"/>
      <c r="J963" s="418"/>
    </row>
    <row r="964" spans="6:10">
      <c r="F964" s="420"/>
      <c r="G964" s="420"/>
      <c r="H964" s="420"/>
      <c r="I964" s="418"/>
      <c r="J964" s="418"/>
    </row>
    <row r="965" spans="6:10">
      <c r="F965" s="420"/>
      <c r="G965" s="420"/>
      <c r="H965" s="420"/>
      <c r="I965" s="418"/>
      <c r="J965" s="418"/>
    </row>
    <row r="966" spans="6:10">
      <c r="F966" s="420"/>
      <c r="G966" s="420"/>
      <c r="H966" s="420"/>
      <c r="I966" s="418"/>
      <c r="J966" s="418"/>
    </row>
    <row r="967" spans="6:10">
      <c r="F967" s="420"/>
      <c r="G967" s="420"/>
      <c r="H967" s="420"/>
      <c r="I967" s="418"/>
      <c r="J967" s="418"/>
    </row>
    <row r="968" spans="6:10">
      <c r="F968" s="420"/>
      <c r="G968" s="420"/>
      <c r="H968" s="420"/>
      <c r="I968" s="418"/>
      <c r="J968" s="418"/>
    </row>
    <row r="969" spans="6:10">
      <c r="F969" s="420"/>
      <c r="G969" s="420"/>
      <c r="H969" s="420"/>
      <c r="I969" s="418"/>
      <c r="J969" s="418"/>
    </row>
    <row r="970" spans="6:10">
      <c r="F970" s="420"/>
      <c r="G970" s="420"/>
      <c r="H970" s="420"/>
      <c r="I970" s="418"/>
      <c r="J970" s="418"/>
    </row>
    <row r="971" spans="6:10">
      <c r="F971" s="420"/>
      <c r="G971" s="420"/>
      <c r="H971" s="420"/>
      <c r="I971" s="418"/>
      <c r="J971" s="418"/>
    </row>
    <row r="972" spans="6:10">
      <c r="F972" s="420"/>
      <c r="G972" s="420"/>
      <c r="H972" s="420"/>
      <c r="I972" s="418"/>
      <c r="J972" s="418"/>
    </row>
    <row r="973" spans="6:10">
      <c r="F973" s="420"/>
      <c r="G973" s="420"/>
      <c r="H973" s="420"/>
      <c r="I973" s="418"/>
      <c r="J973" s="418"/>
    </row>
    <row r="974" spans="6:10">
      <c r="F974" s="420"/>
      <c r="G974" s="420"/>
      <c r="H974" s="420"/>
      <c r="I974" s="418"/>
      <c r="J974" s="418"/>
    </row>
    <row r="975" spans="6:10">
      <c r="F975" s="420"/>
      <c r="G975" s="420"/>
      <c r="H975" s="420"/>
      <c r="I975" s="418"/>
      <c r="J975" s="418"/>
    </row>
    <row r="976" spans="6:10">
      <c r="F976" s="420"/>
      <c r="G976" s="420"/>
      <c r="H976" s="420"/>
      <c r="I976" s="418"/>
      <c r="J976" s="418"/>
    </row>
    <row r="977" spans="6:10">
      <c r="F977" s="420"/>
      <c r="G977" s="420"/>
      <c r="H977" s="420"/>
      <c r="I977" s="418"/>
      <c r="J977" s="418"/>
    </row>
    <row r="978" spans="6:10">
      <c r="F978" s="420"/>
      <c r="G978" s="420"/>
      <c r="H978" s="420"/>
      <c r="I978" s="418"/>
      <c r="J978" s="418"/>
    </row>
    <row r="979" spans="6:10">
      <c r="F979" s="420"/>
      <c r="G979" s="420"/>
      <c r="H979" s="420"/>
      <c r="I979" s="418"/>
      <c r="J979" s="418"/>
    </row>
    <row r="980" spans="6:10">
      <c r="F980" s="420"/>
      <c r="G980" s="420"/>
      <c r="H980" s="420"/>
      <c r="I980" s="418"/>
      <c r="J980" s="418"/>
    </row>
    <row r="981" spans="6:10">
      <c r="F981" s="420"/>
      <c r="G981" s="420"/>
      <c r="H981" s="420"/>
      <c r="I981" s="418"/>
      <c r="J981" s="418"/>
    </row>
    <row r="982" spans="6:10">
      <c r="F982" s="420"/>
      <c r="G982" s="420"/>
      <c r="H982" s="420"/>
      <c r="I982" s="418"/>
      <c r="J982" s="418"/>
    </row>
    <row r="983" spans="6:10">
      <c r="F983" s="420"/>
      <c r="G983" s="420"/>
      <c r="H983" s="420"/>
      <c r="I983" s="418"/>
      <c r="J983" s="418"/>
    </row>
    <row r="984" spans="6:10">
      <c r="F984" s="420"/>
      <c r="G984" s="420"/>
      <c r="H984" s="420"/>
      <c r="I984" s="418"/>
      <c r="J984" s="418"/>
    </row>
    <row r="985" spans="6:10">
      <c r="F985" s="420"/>
      <c r="G985" s="420"/>
      <c r="H985" s="420"/>
      <c r="I985" s="418"/>
      <c r="J985" s="418"/>
    </row>
    <row r="986" spans="6:10">
      <c r="F986" s="420"/>
      <c r="G986" s="420"/>
      <c r="H986" s="420"/>
      <c r="I986" s="418"/>
      <c r="J986" s="418"/>
    </row>
    <row r="987" spans="6:10">
      <c r="F987" s="420"/>
      <c r="G987" s="420"/>
      <c r="H987" s="420"/>
      <c r="I987" s="418"/>
      <c r="J987" s="418"/>
    </row>
    <row r="988" spans="6:10">
      <c r="F988" s="420"/>
      <c r="G988" s="420"/>
      <c r="H988" s="420"/>
      <c r="I988" s="418"/>
      <c r="J988" s="418"/>
    </row>
    <row r="989" spans="6:10">
      <c r="F989" s="420"/>
      <c r="G989" s="420"/>
      <c r="H989" s="420"/>
      <c r="I989" s="418"/>
      <c r="J989" s="418"/>
    </row>
    <row r="990" spans="6:10">
      <c r="F990" s="420"/>
      <c r="G990" s="420"/>
      <c r="H990" s="420"/>
      <c r="I990" s="418"/>
      <c r="J990" s="418"/>
    </row>
    <row r="991" spans="6:10">
      <c r="F991" s="420"/>
      <c r="G991" s="420"/>
      <c r="H991" s="420"/>
      <c r="I991" s="418"/>
      <c r="J991" s="418"/>
    </row>
    <row r="992" spans="6:10">
      <c r="F992" s="420"/>
      <c r="G992" s="420"/>
      <c r="H992" s="420"/>
      <c r="I992" s="418"/>
      <c r="J992" s="418"/>
    </row>
    <row r="993" spans="6:10">
      <c r="F993" s="420"/>
      <c r="G993" s="420"/>
      <c r="H993" s="420"/>
      <c r="I993" s="418"/>
      <c r="J993" s="418"/>
    </row>
    <row r="994" spans="6:10">
      <c r="F994" s="420"/>
      <c r="G994" s="420"/>
      <c r="H994" s="420"/>
      <c r="I994" s="418"/>
      <c r="J994" s="418"/>
    </row>
    <row r="995" spans="6:10">
      <c r="F995" s="420"/>
      <c r="G995" s="420"/>
      <c r="H995" s="420"/>
      <c r="I995" s="418"/>
      <c r="J995" s="418"/>
    </row>
    <row r="996" spans="6:10">
      <c r="F996" s="420"/>
      <c r="G996" s="420"/>
      <c r="H996" s="420"/>
      <c r="I996" s="418"/>
      <c r="J996" s="418"/>
    </row>
    <row r="997" spans="6:10">
      <c r="F997" s="420"/>
      <c r="G997" s="420"/>
      <c r="H997" s="420"/>
      <c r="I997" s="418"/>
      <c r="J997" s="418"/>
    </row>
    <row r="998" spans="6:10">
      <c r="F998" s="420"/>
      <c r="G998" s="420"/>
      <c r="H998" s="420"/>
      <c r="I998" s="418"/>
      <c r="J998" s="418"/>
    </row>
    <row r="999" spans="6:10">
      <c r="F999" s="420"/>
      <c r="G999" s="420"/>
      <c r="H999" s="420"/>
      <c r="I999" s="418"/>
      <c r="J999" s="418"/>
    </row>
    <row r="1000" spans="6:10">
      <c r="F1000" s="420"/>
      <c r="G1000" s="420"/>
      <c r="H1000" s="420"/>
      <c r="I1000" s="418"/>
      <c r="J1000" s="418"/>
    </row>
    <row r="1001" spans="6:10">
      <c r="F1001" s="420"/>
      <c r="G1001" s="420"/>
      <c r="H1001" s="420"/>
      <c r="I1001" s="418"/>
      <c r="J1001" s="418"/>
    </row>
    <row r="1002" spans="6:10">
      <c r="F1002" s="420"/>
      <c r="G1002" s="420"/>
      <c r="H1002" s="420"/>
      <c r="I1002" s="418"/>
      <c r="J1002" s="418"/>
    </row>
    <row r="1003" spans="6:10">
      <c r="F1003" s="420"/>
      <c r="G1003" s="420"/>
      <c r="H1003" s="420"/>
      <c r="I1003" s="418"/>
      <c r="J1003" s="418"/>
    </row>
    <row r="1004" spans="6:10">
      <c r="F1004" s="420"/>
      <c r="G1004" s="420"/>
      <c r="H1004" s="420"/>
      <c r="I1004" s="418"/>
      <c r="J1004" s="418"/>
    </row>
    <row r="1005" spans="6:10">
      <c r="F1005" s="420"/>
      <c r="G1005" s="420"/>
      <c r="H1005" s="420"/>
      <c r="I1005" s="418"/>
      <c r="J1005" s="418"/>
    </row>
    <row r="1006" spans="6:10">
      <c r="F1006" s="420"/>
      <c r="G1006" s="420"/>
      <c r="H1006" s="420"/>
      <c r="I1006" s="418"/>
      <c r="J1006" s="418"/>
    </row>
    <row r="1007" spans="6:10">
      <c r="F1007" s="420"/>
      <c r="G1007" s="420"/>
      <c r="H1007" s="420"/>
      <c r="I1007" s="418"/>
      <c r="J1007" s="418"/>
    </row>
    <row r="1008" spans="6:10">
      <c r="F1008" s="420"/>
      <c r="G1008" s="420"/>
      <c r="H1008" s="420"/>
      <c r="I1008" s="418"/>
      <c r="J1008" s="418"/>
    </row>
    <row r="1009" spans="6:10">
      <c r="F1009" s="420"/>
      <c r="G1009" s="420"/>
      <c r="H1009" s="420"/>
      <c r="I1009" s="418"/>
      <c r="J1009" s="418"/>
    </row>
    <row r="1010" spans="6:10">
      <c r="F1010" s="420"/>
      <c r="G1010" s="420"/>
      <c r="H1010" s="420"/>
      <c r="I1010" s="418"/>
      <c r="J1010" s="418"/>
    </row>
    <row r="1011" spans="6:10">
      <c r="F1011" s="420"/>
      <c r="G1011" s="420"/>
      <c r="H1011" s="420"/>
      <c r="I1011" s="418"/>
      <c r="J1011" s="418"/>
    </row>
    <row r="1012" spans="6:10">
      <c r="F1012" s="420"/>
      <c r="G1012" s="420"/>
      <c r="H1012" s="420"/>
      <c r="I1012" s="418"/>
      <c r="J1012" s="418"/>
    </row>
    <row r="1013" spans="6:10">
      <c r="F1013" s="420"/>
      <c r="G1013" s="420"/>
      <c r="H1013" s="420"/>
      <c r="I1013" s="418"/>
      <c r="J1013" s="418"/>
    </row>
    <row r="1014" spans="6:10">
      <c r="F1014" s="420"/>
      <c r="G1014" s="420"/>
      <c r="H1014" s="420"/>
      <c r="I1014" s="418"/>
      <c r="J1014" s="418"/>
    </row>
    <row r="1015" spans="6:10">
      <c r="F1015" s="420"/>
      <c r="G1015" s="420"/>
      <c r="H1015" s="420"/>
      <c r="I1015" s="418"/>
      <c r="J1015" s="418"/>
    </row>
    <row r="1016" spans="6:10">
      <c r="F1016" s="420"/>
      <c r="G1016" s="420"/>
      <c r="H1016" s="420"/>
      <c r="I1016" s="418"/>
      <c r="J1016" s="418"/>
    </row>
    <row r="1017" spans="6:10">
      <c r="F1017" s="420"/>
      <c r="G1017" s="420"/>
      <c r="H1017" s="420"/>
      <c r="I1017" s="418"/>
      <c r="J1017" s="418"/>
    </row>
    <row r="1018" spans="6:10">
      <c r="F1018" s="420"/>
      <c r="G1018" s="420"/>
      <c r="H1018" s="420"/>
      <c r="I1018" s="418"/>
      <c r="J1018" s="418"/>
    </row>
    <row r="1019" spans="6:10">
      <c r="F1019" s="420"/>
      <c r="G1019" s="420"/>
      <c r="H1019" s="420"/>
      <c r="I1019" s="418"/>
      <c r="J1019" s="418"/>
    </row>
    <row r="1020" spans="6:10">
      <c r="F1020" s="420"/>
      <c r="G1020" s="420"/>
      <c r="H1020" s="420"/>
      <c r="I1020" s="418"/>
      <c r="J1020" s="418"/>
    </row>
    <row r="1021" spans="6:10">
      <c r="F1021" s="420"/>
      <c r="G1021" s="420"/>
      <c r="H1021" s="420"/>
      <c r="I1021" s="418"/>
      <c r="J1021" s="418"/>
    </row>
    <row r="1022" spans="6:10">
      <c r="F1022" s="420"/>
      <c r="G1022" s="420"/>
      <c r="H1022" s="420"/>
      <c r="I1022" s="418"/>
      <c r="J1022" s="418"/>
    </row>
    <row r="1023" spans="6:10">
      <c r="F1023" s="420"/>
      <c r="G1023" s="420"/>
      <c r="H1023" s="420"/>
      <c r="I1023" s="418"/>
      <c r="J1023" s="418"/>
    </row>
    <row r="1024" spans="6:10">
      <c r="F1024" s="420"/>
      <c r="G1024" s="420"/>
      <c r="H1024" s="420"/>
      <c r="I1024" s="418"/>
      <c r="J1024" s="418"/>
    </row>
    <row r="1025" spans="6:10">
      <c r="F1025" s="420"/>
      <c r="G1025" s="420"/>
      <c r="H1025" s="420"/>
      <c r="I1025" s="418"/>
      <c r="J1025" s="418"/>
    </row>
    <row r="1026" spans="6:10">
      <c r="F1026" s="420"/>
      <c r="G1026" s="420"/>
      <c r="H1026" s="420"/>
      <c r="I1026" s="418"/>
      <c r="J1026" s="418"/>
    </row>
    <row r="1027" spans="6:10">
      <c r="F1027" s="420"/>
      <c r="G1027" s="420"/>
      <c r="H1027" s="420"/>
      <c r="I1027" s="418"/>
      <c r="J1027" s="418"/>
    </row>
    <row r="1028" spans="6:10">
      <c r="F1028" s="420"/>
      <c r="G1028" s="420"/>
      <c r="H1028" s="420"/>
      <c r="I1028" s="418"/>
      <c r="J1028" s="418"/>
    </row>
    <row r="1029" spans="6:10">
      <c r="F1029" s="420"/>
      <c r="G1029" s="420"/>
      <c r="H1029" s="420"/>
      <c r="I1029" s="418"/>
      <c r="J1029" s="418"/>
    </row>
    <row r="1030" spans="6:10">
      <c r="F1030" s="420"/>
      <c r="G1030" s="420"/>
      <c r="H1030" s="420"/>
      <c r="I1030" s="418"/>
      <c r="J1030" s="418"/>
    </row>
    <row r="1031" spans="6:10">
      <c r="F1031" s="420"/>
      <c r="G1031" s="420"/>
      <c r="H1031" s="420"/>
      <c r="I1031" s="418"/>
      <c r="J1031" s="418"/>
    </row>
    <row r="1032" spans="6:10">
      <c r="F1032" s="420"/>
      <c r="G1032" s="420"/>
      <c r="H1032" s="420"/>
      <c r="I1032" s="418"/>
      <c r="J1032" s="418"/>
    </row>
    <row r="1033" spans="6:10">
      <c r="F1033" s="420"/>
      <c r="G1033" s="420"/>
      <c r="H1033" s="420"/>
      <c r="I1033" s="418"/>
      <c r="J1033" s="418"/>
    </row>
    <row r="1034" spans="6:10">
      <c r="F1034" s="420"/>
      <c r="G1034" s="420"/>
      <c r="H1034" s="420"/>
      <c r="I1034" s="418"/>
      <c r="J1034" s="418"/>
    </row>
    <row r="1035" spans="6:10">
      <c r="F1035" s="420"/>
      <c r="G1035" s="420"/>
      <c r="H1035" s="420"/>
      <c r="I1035" s="418"/>
      <c r="J1035" s="418"/>
    </row>
    <row r="1036" spans="6:10">
      <c r="F1036" s="420"/>
      <c r="G1036" s="420"/>
      <c r="H1036" s="420"/>
      <c r="I1036" s="418"/>
      <c r="J1036" s="418"/>
    </row>
    <row r="1037" spans="6:10">
      <c r="F1037" s="420"/>
      <c r="G1037" s="420"/>
      <c r="H1037" s="420"/>
      <c r="I1037" s="418"/>
      <c r="J1037" s="418"/>
    </row>
    <row r="1038" spans="6:10">
      <c r="F1038" s="420"/>
      <c r="G1038" s="420"/>
      <c r="H1038" s="420"/>
      <c r="I1038" s="418"/>
      <c r="J1038" s="418"/>
    </row>
    <row r="1039" spans="6:10">
      <c r="F1039" s="420"/>
      <c r="G1039" s="420"/>
      <c r="H1039" s="420"/>
      <c r="I1039" s="418"/>
      <c r="J1039" s="418"/>
    </row>
    <row r="1040" spans="6:10">
      <c r="F1040" s="420"/>
      <c r="G1040" s="420"/>
      <c r="H1040" s="420"/>
      <c r="I1040" s="418"/>
      <c r="J1040" s="418"/>
    </row>
    <row r="1041" spans="6:10">
      <c r="F1041" s="420"/>
      <c r="G1041" s="420"/>
      <c r="H1041" s="420"/>
      <c r="I1041" s="418"/>
      <c r="J1041" s="418"/>
    </row>
    <row r="1042" spans="6:10">
      <c r="F1042" s="420"/>
      <c r="G1042" s="420"/>
      <c r="H1042" s="420"/>
      <c r="I1042" s="418"/>
      <c r="J1042" s="418"/>
    </row>
    <row r="1043" spans="6:10">
      <c r="F1043" s="420"/>
      <c r="G1043" s="420"/>
      <c r="H1043" s="420"/>
      <c r="I1043" s="418"/>
      <c r="J1043" s="418"/>
    </row>
    <row r="1044" spans="6:10">
      <c r="F1044" s="420"/>
      <c r="G1044" s="420"/>
      <c r="H1044" s="420"/>
      <c r="I1044" s="418"/>
      <c r="J1044" s="418"/>
    </row>
    <row r="1045" spans="6:10">
      <c r="F1045" s="420"/>
      <c r="G1045" s="420"/>
      <c r="H1045" s="420"/>
      <c r="I1045" s="418"/>
      <c r="J1045" s="418"/>
    </row>
    <row r="1046" spans="6:10">
      <c r="F1046" s="420"/>
      <c r="G1046" s="420"/>
      <c r="H1046" s="420"/>
      <c r="I1046" s="418"/>
      <c r="J1046" s="418"/>
    </row>
    <row r="1047" spans="6:10">
      <c r="F1047" s="420"/>
      <c r="G1047" s="420"/>
      <c r="H1047" s="420"/>
      <c r="I1047" s="418"/>
      <c r="J1047" s="418"/>
    </row>
    <row r="1048" spans="6:10">
      <c r="F1048" s="420"/>
      <c r="G1048" s="420"/>
      <c r="H1048" s="420"/>
      <c r="I1048" s="418"/>
      <c r="J1048" s="418"/>
    </row>
    <row r="1049" spans="6:10">
      <c r="F1049" s="420"/>
      <c r="G1049" s="420"/>
      <c r="H1049" s="420"/>
      <c r="I1049" s="418"/>
      <c r="J1049" s="418"/>
    </row>
    <row r="1050" spans="6:10">
      <c r="F1050" s="420"/>
      <c r="G1050" s="420"/>
      <c r="H1050" s="420"/>
      <c r="I1050" s="418"/>
      <c r="J1050" s="418"/>
    </row>
    <row r="1051" spans="6:10">
      <c r="F1051" s="420"/>
      <c r="G1051" s="420"/>
      <c r="H1051" s="420"/>
      <c r="I1051" s="418"/>
      <c r="J1051" s="418"/>
    </row>
    <row r="1052" spans="6:10">
      <c r="F1052" s="420"/>
      <c r="G1052" s="420"/>
      <c r="H1052" s="420"/>
      <c r="I1052" s="418"/>
      <c r="J1052" s="418"/>
    </row>
    <row r="1053" spans="6:10">
      <c r="F1053" s="420"/>
      <c r="G1053" s="420"/>
      <c r="H1053" s="420"/>
      <c r="I1053" s="418"/>
      <c r="J1053" s="418"/>
    </row>
    <row r="1054" spans="6:10">
      <c r="F1054" s="420"/>
      <c r="G1054" s="420"/>
      <c r="H1054" s="420"/>
      <c r="I1054" s="418"/>
      <c r="J1054" s="418"/>
    </row>
    <row r="1055" spans="6:10">
      <c r="F1055" s="420"/>
      <c r="G1055" s="420"/>
      <c r="H1055" s="420"/>
      <c r="I1055" s="418"/>
      <c r="J1055" s="418"/>
    </row>
    <row r="1056" spans="6:10">
      <c r="F1056" s="420"/>
      <c r="G1056" s="420"/>
      <c r="H1056" s="420"/>
      <c r="I1056" s="418"/>
      <c r="J1056" s="418"/>
    </row>
    <row r="1057" spans="6:10">
      <c r="F1057" s="420"/>
      <c r="G1057" s="420"/>
      <c r="H1057" s="420"/>
      <c r="I1057" s="418"/>
      <c r="J1057" s="418"/>
    </row>
    <row r="1058" spans="6:10">
      <c r="F1058" s="420"/>
      <c r="G1058" s="420"/>
      <c r="H1058" s="420"/>
      <c r="I1058" s="418"/>
      <c r="J1058" s="418"/>
    </row>
    <row r="1059" spans="6:10">
      <c r="F1059" s="420"/>
      <c r="G1059" s="420"/>
      <c r="H1059" s="420"/>
      <c r="I1059" s="418"/>
      <c r="J1059" s="418"/>
    </row>
    <row r="1060" spans="6:10">
      <c r="F1060" s="420"/>
      <c r="G1060" s="420"/>
      <c r="H1060" s="420"/>
      <c r="I1060" s="418"/>
      <c r="J1060" s="418"/>
    </row>
    <row r="1061" spans="6:10">
      <c r="F1061" s="420"/>
      <c r="G1061" s="420"/>
      <c r="H1061" s="420"/>
      <c r="I1061" s="418"/>
      <c r="J1061" s="418"/>
    </row>
    <row r="1062" spans="6:10">
      <c r="F1062" s="420"/>
      <c r="G1062" s="420"/>
      <c r="H1062" s="420"/>
      <c r="I1062" s="418"/>
      <c r="J1062" s="418"/>
    </row>
    <row r="1063" spans="6:10">
      <c r="F1063" s="420"/>
      <c r="G1063" s="419"/>
      <c r="H1063" s="419"/>
    </row>
    <row r="1064" spans="6:10">
      <c r="F1064" s="420"/>
      <c r="G1064" s="419"/>
      <c r="H1064" s="419"/>
    </row>
    <row r="1065" spans="6:10">
      <c r="F1065" s="420"/>
      <c r="G1065" s="419"/>
      <c r="H1065" s="419"/>
    </row>
    <row r="1066" spans="6:10">
      <c r="F1066" s="420"/>
      <c r="G1066" s="419"/>
      <c r="H1066" s="419"/>
    </row>
    <row r="1067" spans="6:10">
      <c r="F1067" s="420"/>
      <c r="G1067" s="419"/>
      <c r="H1067" s="419"/>
    </row>
    <row r="1068" spans="6:10">
      <c r="F1068" s="420"/>
      <c r="G1068" s="419"/>
      <c r="H1068" s="419"/>
    </row>
    <row r="1069" spans="6:10">
      <c r="F1069" s="420"/>
      <c r="G1069" s="419"/>
      <c r="H1069" s="419"/>
    </row>
    <row r="1070" spans="6:10">
      <c r="F1070" s="420"/>
      <c r="G1070" s="419"/>
      <c r="H1070" s="419"/>
    </row>
    <row r="1071" spans="6:10">
      <c r="F1071" s="420"/>
      <c r="G1071" s="419"/>
      <c r="H1071" s="419"/>
    </row>
    <row r="1072" spans="6:10">
      <c r="F1072" s="420"/>
      <c r="G1072" s="419"/>
      <c r="H1072" s="419"/>
    </row>
    <row r="1073" spans="6:8">
      <c r="F1073" s="420"/>
      <c r="G1073" s="419"/>
      <c r="H1073" s="419"/>
    </row>
    <row r="1074" spans="6:8">
      <c r="F1074" s="420"/>
      <c r="G1074" s="419"/>
      <c r="H1074" s="419"/>
    </row>
    <row r="1075" spans="6:8">
      <c r="F1075" s="420"/>
      <c r="G1075" s="419"/>
      <c r="H1075" s="419"/>
    </row>
    <row r="1076" spans="6:8">
      <c r="F1076" s="420"/>
      <c r="G1076" s="419"/>
      <c r="H1076" s="419"/>
    </row>
    <row r="1077" spans="6:8">
      <c r="F1077" s="420"/>
      <c r="G1077" s="419"/>
      <c r="H1077" s="419"/>
    </row>
    <row r="1078" spans="6:8">
      <c r="F1078" s="420"/>
      <c r="G1078" s="419"/>
      <c r="H1078" s="419"/>
    </row>
    <row r="1079" spans="6:8">
      <c r="F1079" s="420"/>
      <c r="G1079" s="419"/>
      <c r="H1079" s="419"/>
    </row>
    <row r="1080" spans="6:8">
      <c r="F1080" s="420"/>
      <c r="G1080" s="419"/>
      <c r="H1080" s="419"/>
    </row>
    <row r="1081" spans="6:8">
      <c r="F1081" s="420"/>
      <c r="G1081" s="419"/>
      <c r="H1081" s="419"/>
    </row>
    <row r="1082" spans="6:8">
      <c r="F1082" s="420"/>
      <c r="G1082" s="419"/>
      <c r="H1082" s="419"/>
    </row>
    <row r="1083" spans="6:8">
      <c r="F1083" s="420"/>
      <c r="G1083" s="419"/>
      <c r="H1083" s="419"/>
    </row>
    <row r="1084" spans="6:8">
      <c r="F1084" s="420"/>
      <c r="G1084" s="419"/>
      <c r="H1084" s="419"/>
    </row>
    <row r="1085" spans="6:8">
      <c r="F1085" s="420"/>
      <c r="G1085" s="419"/>
      <c r="H1085" s="419"/>
    </row>
    <row r="1086" spans="6:8">
      <c r="F1086" s="420"/>
      <c r="G1086" s="419"/>
      <c r="H1086" s="419"/>
    </row>
    <row r="1087" spans="6:8">
      <c r="F1087" s="420"/>
      <c r="G1087" s="419"/>
      <c r="H1087" s="419"/>
    </row>
    <row r="1088" spans="6:8">
      <c r="F1088" s="420"/>
      <c r="G1088" s="419"/>
      <c r="H1088" s="419"/>
    </row>
    <row r="1089" spans="6:8">
      <c r="F1089" s="420"/>
      <c r="G1089" s="419"/>
      <c r="H1089" s="419"/>
    </row>
    <row r="1090" spans="6:8">
      <c r="F1090" s="420"/>
      <c r="G1090" s="419"/>
      <c r="H1090" s="419"/>
    </row>
    <row r="1091" spans="6:8">
      <c r="F1091" s="420"/>
      <c r="G1091" s="419"/>
      <c r="H1091" s="419"/>
    </row>
    <row r="1092" spans="6:8">
      <c r="F1092" s="420"/>
      <c r="G1092" s="419"/>
      <c r="H1092" s="419"/>
    </row>
    <row r="1093" spans="6:8">
      <c r="F1093" s="420"/>
      <c r="G1093" s="419"/>
      <c r="H1093" s="419"/>
    </row>
    <row r="1094" spans="6:8">
      <c r="F1094" s="420"/>
      <c r="G1094" s="419"/>
      <c r="H1094" s="419"/>
    </row>
    <row r="1095" spans="6:8">
      <c r="F1095" s="420"/>
      <c r="G1095" s="419"/>
      <c r="H1095" s="419"/>
    </row>
    <row r="1096" spans="6:8">
      <c r="F1096" s="420"/>
      <c r="G1096" s="419"/>
      <c r="H1096" s="419"/>
    </row>
    <row r="1097" spans="6:8">
      <c r="F1097" s="420"/>
      <c r="G1097" s="419"/>
      <c r="H1097" s="419"/>
    </row>
    <row r="1098" spans="6:8">
      <c r="F1098" s="420"/>
      <c r="G1098" s="419"/>
      <c r="H1098" s="419"/>
    </row>
    <row r="1099" spans="6:8">
      <c r="F1099" s="420"/>
      <c r="G1099" s="419"/>
      <c r="H1099" s="419"/>
    </row>
    <row r="1100" spans="6:8">
      <c r="F1100" s="420"/>
      <c r="G1100" s="419"/>
      <c r="H1100" s="419"/>
    </row>
    <row r="1101" spans="6:8">
      <c r="F1101" s="420"/>
      <c r="G1101" s="419"/>
      <c r="H1101" s="419"/>
    </row>
    <row r="1102" spans="6:8">
      <c r="F1102" s="420"/>
      <c r="G1102" s="419"/>
      <c r="H1102" s="419"/>
    </row>
    <row r="1103" spans="6:8">
      <c r="F1103" s="420"/>
      <c r="G1103" s="419"/>
      <c r="H1103" s="419"/>
    </row>
    <row r="1104" spans="6:8">
      <c r="F1104" s="420"/>
      <c r="G1104" s="419"/>
      <c r="H1104" s="419"/>
    </row>
    <row r="1105" spans="6:8">
      <c r="F1105" s="420"/>
      <c r="G1105" s="419"/>
      <c r="H1105" s="419"/>
    </row>
    <row r="1106" spans="6:8">
      <c r="F1106" s="420"/>
      <c r="G1106" s="419"/>
      <c r="H1106" s="419"/>
    </row>
    <row r="1107" spans="6:8">
      <c r="F1107" s="420"/>
      <c r="G1107" s="419"/>
      <c r="H1107" s="419"/>
    </row>
    <row r="1108" spans="6:8">
      <c r="F1108" s="420"/>
      <c r="G1108" s="419"/>
      <c r="H1108" s="419"/>
    </row>
    <row r="1109" spans="6:8">
      <c r="F1109" s="420"/>
      <c r="G1109" s="419"/>
      <c r="H1109" s="419"/>
    </row>
    <row r="1110" spans="6:8">
      <c r="F1110" s="420"/>
      <c r="G1110" s="419"/>
      <c r="H1110" s="419"/>
    </row>
    <row r="1111" spans="6:8">
      <c r="F1111" s="420"/>
      <c r="G1111" s="419"/>
      <c r="H1111" s="419"/>
    </row>
    <row r="1112" spans="6:8">
      <c r="F1112" s="420"/>
      <c r="G1112" s="419"/>
      <c r="H1112" s="419"/>
    </row>
    <row r="1113" spans="6:8">
      <c r="F1113" s="420"/>
      <c r="G1113" s="419"/>
      <c r="H1113" s="419"/>
    </row>
    <row r="1114" spans="6:8">
      <c r="F1114" s="420"/>
      <c r="G1114" s="419"/>
      <c r="H1114" s="419"/>
    </row>
    <row r="1115" spans="6:8">
      <c r="F1115" s="420"/>
      <c r="G1115" s="419"/>
      <c r="H1115" s="419"/>
    </row>
    <row r="1116" spans="6:8">
      <c r="F1116" s="420"/>
      <c r="G1116" s="419"/>
      <c r="H1116" s="419"/>
    </row>
    <row r="1117" spans="6:8">
      <c r="F1117" s="420"/>
      <c r="G1117" s="419"/>
      <c r="H1117" s="419"/>
    </row>
    <row r="1118" spans="6:8">
      <c r="F1118" s="420"/>
      <c r="G1118" s="419"/>
      <c r="H1118" s="419"/>
    </row>
    <row r="1119" spans="6:8">
      <c r="F1119" s="420"/>
      <c r="G1119" s="419"/>
      <c r="H1119" s="419"/>
    </row>
    <row r="1120" spans="6:8">
      <c r="F1120" s="420"/>
      <c r="G1120" s="419"/>
      <c r="H1120" s="419"/>
    </row>
    <row r="1121" spans="6:8">
      <c r="F1121" s="420"/>
      <c r="G1121" s="419"/>
      <c r="H1121" s="419"/>
    </row>
    <row r="1122" spans="6:8">
      <c r="F1122" s="420"/>
      <c r="G1122" s="419"/>
      <c r="H1122" s="419"/>
    </row>
    <row r="1123" spans="6:8">
      <c r="F1123" s="420"/>
      <c r="G1123" s="419"/>
      <c r="H1123" s="419"/>
    </row>
    <row r="1124" spans="6:8">
      <c r="F1124" s="420"/>
      <c r="G1124" s="419"/>
      <c r="H1124" s="419"/>
    </row>
    <row r="1125" spans="6:8">
      <c r="F1125" s="420"/>
      <c r="G1125" s="419"/>
      <c r="H1125" s="419"/>
    </row>
    <row r="1126" spans="6:8">
      <c r="F1126" s="420"/>
      <c r="G1126" s="419"/>
      <c r="H1126" s="419"/>
    </row>
    <row r="1127" spans="6:8">
      <c r="F1127" s="420"/>
      <c r="G1127" s="419"/>
      <c r="H1127" s="419"/>
    </row>
    <row r="1128" spans="6:8">
      <c r="F1128" s="420"/>
      <c r="G1128" s="419"/>
      <c r="H1128" s="419"/>
    </row>
    <row r="1129" spans="6:8">
      <c r="F1129" s="420"/>
      <c r="G1129" s="419"/>
      <c r="H1129" s="419"/>
    </row>
    <row r="1130" spans="6:8">
      <c r="F1130" s="420"/>
      <c r="G1130" s="419"/>
      <c r="H1130" s="419"/>
    </row>
    <row r="1131" spans="6:8">
      <c r="F1131" s="420"/>
      <c r="G1131" s="419"/>
      <c r="H1131" s="419"/>
    </row>
    <row r="1132" spans="6:8">
      <c r="F1132" s="420"/>
      <c r="G1132" s="419"/>
      <c r="H1132" s="419"/>
    </row>
    <row r="1133" spans="6:8">
      <c r="F1133" s="420"/>
      <c r="G1133" s="419"/>
      <c r="H1133" s="419"/>
    </row>
    <row r="1134" spans="6:8">
      <c r="F1134" s="420"/>
      <c r="G1134" s="419"/>
      <c r="H1134" s="419"/>
    </row>
    <row r="1135" spans="6:8">
      <c r="F1135" s="420"/>
      <c r="G1135" s="419"/>
      <c r="H1135" s="419"/>
    </row>
    <row r="1136" spans="6:8">
      <c r="F1136" s="420"/>
      <c r="G1136" s="419"/>
      <c r="H1136" s="419"/>
    </row>
    <row r="1137" spans="6:8">
      <c r="F1137" s="420"/>
      <c r="G1137" s="419"/>
      <c r="H1137" s="419"/>
    </row>
    <row r="1138" spans="6:8">
      <c r="F1138" s="420"/>
      <c r="G1138" s="419"/>
      <c r="H1138" s="419"/>
    </row>
    <row r="1139" spans="6:8">
      <c r="F1139" s="420"/>
      <c r="G1139" s="419"/>
      <c r="H1139" s="419"/>
    </row>
    <row r="1140" spans="6:8">
      <c r="F1140" s="420"/>
      <c r="G1140" s="419"/>
      <c r="H1140" s="419"/>
    </row>
    <row r="1141" spans="6:8">
      <c r="F1141" s="420"/>
      <c r="G1141" s="419"/>
      <c r="H1141" s="419"/>
    </row>
    <row r="1142" spans="6:8">
      <c r="F1142" s="420"/>
      <c r="G1142" s="419"/>
      <c r="H1142" s="419"/>
    </row>
    <row r="1143" spans="6:8">
      <c r="F1143" s="420"/>
      <c r="G1143" s="419"/>
      <c r="H1143" s="419"/>
    </row>
    <row r="1144" spans="6:8">
      <c r="F1144" s="420"/>
      <c r="G1144" s="419"/>
      <c r="H1144" s="419"/>
    </row>
    <row r="1145" spans="6:8">
      <c r="F1145" s="420"/>
      <c r="G1145" s="419"/>
      <c r="H1145" s="419"/>
    </row>
    <row r="1146" spans="6:8">
      <c r="F1146" s="420"/>
      <c r="G1146" s="419"/>
      <c r="H1146" s="419"/>
    </row>
    <row r="1147" spans="6:8">
      <c r="F1147" s="420"/>
      <c r="G1147" s="419"/>
      <c r="H1147" s="419"/>
    </row>
    <row r="1148" spans="6:8">
      <c r="F1148" s="420"/>
      <c r="G1148" s="419"/>
      <c r="H1148" s="419"/>
    </row>
    <row r="1149" spans="6:8">
      <c r="F1149" s="420"/>
      <c r="G1149" s="419"/>
      <c r="H1149" s="419"/>
    </row>
    <row r="1150" spans="6:8">
      <c r="F1150" s="420"/>
      <c r="G1150" s="419"/>
      <c r="H1150" s="419"/>
    </row>
    <row r="1151" spans="6:8">
      <c r="F1151" s="420"/>
      <c r="G1151" s="419"/>
      <c r="H1151" s="419"/>
    </row>
    <row r="1152" spans="6:8">
      <c r="F1152" s="420"/>
      <c r="G1152" s="419"/>
      <c r="H1152" s="419"/>
    </row>
    <row r="1153" spans="6:8">
      <c r="F1153" s="420"/>
      <c r="G1153" s="419"/>
      <c r="H1153" s="419"/>
    </row>
    <row r="1154" spans="6:8">
      <c r="F1154" s="420"/>
      <c r="G1154" s="419"/>
      <c r="H1154" s="419"/>
    </row>
    <row r="1155" spans="6:8">
      <c r="F1155" s="420"/>
      <c r="G1155" s="419"/>
      <c r="H1155" s="419"/>
    </row>
    <row r="1156" spans="6:8">
      <c r="F1156" s="420"/>
      <c r="G1156" s="419"/>
      <c r="H1156" s="419"/>
    </row>
    <row r="1157" spans="6:8">
      <c r="F1157" s="420"/>
      <c r="G1157" s="419"/>
      <c r="H1157" s="419"/>
    </row>
    <row r="1158" spans="6:8">
      <c r="F1158" s="420"/>
      <c r="G1158" s="419"/>
      <c r="H1158" s="419"/>
    </row>
    <row r="1159" spans="6:8">
      <c r="F1159" s="420"/>
      <c r="G1159" s="419"/>
      <c r="H1159" s="419"/>
    </row>
    <row r="1160" spans="6:8">
      <c r="F1160" s="420"/>
      <c r="G1160" s="419"/>
      <c r="H1160" s="419"/>
    </row>
    <row r="1161" spans="6:8">
      <c r="F1161" s="420"/>
      <c r="G1161" s="419"/>
      <c r="H1161" s="419"/>
    </row>
    <row r="1162" spans="6:8">
      <c r="F1162" s="420"/>
      <c r="G1162" s="419"/>
      <c r="H1162" s="419"/>
    </row>
    <row r="1163" spans="6:8">
      <c r="F1163" s="420"/>
      <c r="G1163" s="419"/>
      <c r="H1163" s="419"/>
    </row>
    <row r="1164" spans="6:8">
      <c r="F1164" s="420"/>
      <c r="G1164" s="419"/>
      <c r="H1164" s="419"/>
    </row>
    <row r="1165" spans="6:8">
      <c r="F1165" s="420"/>
      <c r="G1165" s="419"/>
      <c r="H1165" s="419"/>
    </row>
    <row r="1166" spans="6:8">
      <c r="F1166" s="420"/>
      <c r="G1166" s="419"/>
      <c r="H1166" s="419"/>
    </row>
    <row r="1167" spans="6:8">
      <c r="F1167" s="420"/>
      <c r="G1167" s="419"/>
      <c r="H1167" s="419"/>
    </row>
    <row r="1168" spans="6:8">
      <c r="F1168" s="420"/>
      <c r="G1168" s="419"/>
      <c r="H1168" s="419"/>
    </row>
    <row r="1169" spans="6:8">
      <c r="F1169" s="420"/>
      <c r="G1169" s="419"/>
      <c r="H1169" s="419"/>
    </row>
    <row r="1170" spans="6:8">
      <c r="F1170" s="420"/>
      <c r="G1170" s="419"/>
      <c r="H1170" s="419"/>
    </row>
    <row r="1171" spans="6:8">
      <c r="F1171" s="420"/>
      <c r="G1171" s="419"/>
      <c r="H1171" s="419"/>
    </row>
    <row r="1172" spans="6:8">
      <c r="F1172" s="420"/>
      <c r="G1172" s="419"/>
      <c r="H1172" s="419"/>
    </row>
    <row r="1173" spans="6:8">
      <c r="F1173" s="420"/>
      <c r="G1173" s="419"/>
      <c r="H1173" s="419"/>
    </row>
    <row r="1174" spans="6:8">
      <c r="F1174" s="420"/>
      <c r="G1174" s="419"/>
      <c r="H1174" s="419"/>
    </row>
    <row r="1175" spans="6:8">
      <c r="F1175" s="420"/>
      <c r="G1175" s="419"/>
      <c r="H1175" s="419"/>
    </row>
    <row r="1176" spans="6:8">
      <c r="F1176" s="420"/>
      <c r="G1176" s="419"/>
      <c r="H1176" s="419"/>
    </row>
    <row r="1177" spans="6:8">
      <c r="F1177" s="420"/>
      <c r="G1177" s="419"/>
      <c r="H1177" s="419"/>
    </row>
    <row r="1178" spans="6:8">
      <c r="F1178" s="420"/>
      <c r="G1178" s="419"/>
      <c r="H1178" s="419"/>
    </row>
    <row r="1179" spans="6:8">
      <c r="F1179" s="420"/>
      <c r="G1179" s="419"/>
      <c r="H1179" s="419"/>
    </row>
    <row r="1180" spans="6:8">
      <c r="F1180" s="420"/>
      <c r="G1180" s="419"/>
      <c r="H1180" s="419"/>
    </row>
    <row r="1181" spans="6:8">
      <c r="F1181" s="420"/>
      <c r="G1181" s="419"/>
      <c r="H1181" s="419"/>
    </row>
    <row r="1182" spans="6:8">
      <c r="F1182" s="420"/>
      <c r="G1182" s="419"/>
      <c r="H1182" s="419"/>
    </row>
    <row r="1183" spans="6:8">
      <c r="F1183" s="420"/>
      <c r="G1183" s="419"/>
      <c r="H1183" s="419"/>
    </row>
    <row r="1184" spans="6:8">
      <c r="F1184" s="420"/>
      <c r="G1184" s="419"/>
      <c r="H1184" s="419"/>
    </row>
    <row r="1185" spans="6:8">
      <c r="F1185" s="420"/>
      <c r="G1185" s="419"/>
      <c r="H1185" s="419"/>
    </row>
    <row r="1186" spans="6:8">
      <c r="F1186" s="420"/>
      <c r="G1186" s="419"/>
      <c r="H1186" s="419"/>
    </row>
    <row r="1187" spans="6:8">
      <c r="F1187" s="420"/>
      <c r="G1187" s="419"/>
      <c r="H1187" s="419"/>
    </row>
    <row r="1188" spans="6:8">
      <c r="F1188" s="420"/>
      <c r="G1188" s="419"/>
      <c r="H1188" s="419"/>
    </row>
    <row r="1189" spans="6:8">
      <c r="F1189" s="420"/>
      <c r="G1189" s="419"/>
      <c r="H1189" s="419"/>
    </row>
    <row r="1190" spans="6:8">
      <c r="F1190" s="420"/>
      <c r="G1190" s="419"/>
      <c r="H1190" s="419"/>
    </row>
    <row r="1191" spans="6:8">
      <c r="F1191" s="420"/>
      <c r="G1191" s="419"/>
      <c r="H1191" s="419"/>
    </row>
    <row r="1192" spans="6:8">
      <c r="F1192" s="420"/>
      <c r="G1192" s="419"/>
      <c r="H1192" s="419"/>
    </row>
    <row r="1193" spans="6:8">
      <c r="F1193" s="420"/>
      <c r="G1193" s="419"/>
      <c r="H1193" s="419"/>
    </row>
    <row r="1194" spans="6:8">
      <c r="F1194" s="420"/>
      <c r="G1194" s="419"/>
      <c r="H1194" s="419"/>
    </row>
    <row r="1195" spans="6:8">
      <c r="F1195" s="420"/>
      <c r="G1195" s="419"/>
      <c r="H1195" s="419"/>
    </row>
    <row r="1196" spans="6:8">
      <c r="F1196" s="420"/>
      <c r="G1196" s="419"/>
      <c r="H1196" s="419"/>
    </row>
    <row r="1197" spans="6:8">
      <c r="F1197" s="420"/>
      <c r="G1197" s="419"/>
      <c r="H1197" s="419"/>
    </row>
    <row r="1198" spans="6:8">
      <c r="F1198" s="420"/>
      <c r="G1198" s="419"/>
      <c r="H1198" s="419"/>
    </row>
    <row r="1199" spans="6:8">
      <c r="F1199" s="420"/>
      <c r="G1199" s="419"/>
      <c r="H1199" s="419"/>
    </row>
    <row r="1200" spans="6:8">
      <c r="F1200" s="420"/>
      <c r="G1200" s="419"/>
      <c r="H1200" s="419"/>
    </row>
    <row r="1201" spans="6:8">
      <c r="F1201" s="420"/>
      <c r="G1201" s="419"/>
      <c r="H1201" s="419"/>
    </row>
    <row r="1202" spans="6:8">
      <c r="F1202" s="420"/>
      <c r="G1202" s="419"/>
      <c r="H1202" s="419"/>
    </row>
    <row r="1203" spans="6:8">
      <c r="F1203" s="420"/>
      <c r="G1203" s="419"/>
      <c r="H1203" s="419"/>
    </row>
    <row r="1204" spans="6:8">
      <c r="F1204" s="420"/>
      <c r="G1204" s="419"/>
      <c r="H1204" s="419"/>
    </row>
    <row r="1205" spans="6:8">
      <c r="F1205" s="420"/>
      <c r="G1205" s="419"/>
      <c r="H1205" s="419"/>
    </row>
    <row r="1206" spans="6:8">
      <c r="F1206" s="420"/>
      <c r="G1206" s="419"/>
      <c r="H1206" s="419"/>
    </row>
    <row r="1207" spans="6:8">
      <c r="F1207" s="420"/>
      <c r="G1207" s="419"/>
      <c r="H1207" s="419"/>
    </row>
    <row r="1208" spans="6:8">
      <c r="F1208" s="420"/>
      <c r="G1208" s="419"/>
      <c r="H1208" s="419"/>
    </row>
    <row r="1209" spans="6:8">
      <c r="F1209" s="420"/>
      <c r="G1209" s="419"/>
      <c r="H1209" s="419"/>
    </row>
    <row r="1210" spans="6:8">
      <c r="F1210" s="420"/>
      <c r="G1210" s="419"/>
      <c r="H1210" s="419"/>
    </row>
    <row r="1211" spans="6:8">
      <c r="F1211" s="420"/>
      <c r="G1211" s="419"/>
      <c r="H1211" s="419"/>
    </row>
    <row r="1212" spans="6:8">
      <c r="F1212" s="420"/>
      <c r="G1212" s="419"/>
      <c r="H1212" s="419"/>
    </row>
    <row r="1213" spans="6:8">
      <c r="F1213" s="420"/>
      <c r="G1213" s="419"/>
      <c r="H1213" s="419"/>
    </row>
    <row r="1214" spans="6:8">
      <c r="F1214" s="420"/>
      <c r="G1214" s="419"/>
      <c r="H1214" s="419"/>
    </row>
    <row r="1215" spans="6:8">
      <c r="F1215" s="420"/>
      <c r="G1215" s="419"/>
      <c r="H1215" s="419"/>
    </row>
    <row r="1216" spans="6:8">
      <c r="F1216" s="420"/>
      <c r="G1216" s="419"/>
      <c r="H1216" s="419"/>
    </row>
    <row r="1217" spans="6:8">
      <c r="F1217" s="420"/>
      <c r="G1217" s="419"/>
      <c r="H1217" s="419"/>
    </row>
    <row r="1218" spans="6:8">
      <c r="F1218" s="420"/>
      <c r="G1218" s="419"/>
      <c r="H1218" s="419"/>
    </row>
    <row r="1219" spans="6:8">
      <c r="F1219" s="420"/>
      <c r="G1219" s="419"/>
      <c r="H1219" s="419"/>
    </row>
    <row r="1220" spans="6:8">
      <c r="F1220" s="420"/>
      <c r="G1220" s="419"/>
      <c r="H1220" s="419"/>
    </row>
    <row r="1221" spans="6:8">
      <c r="F1221" s="420"/>
      <c r="G1221" s="419"/>
      <c r="H1221" s="419"/>
    </row>
    <row r="1222" spans="6:8">
      <c r="F1222" s="420"/>
      <c r="G1222" s="419"/>
      <c r="H1222" s="419"/>
    </row>
    <row r="1223" spans="6:8">
      <c r="F1223" s="420"/>
      <c r="G1223" s="419"/>
      <c r="H1223" s="419"/>
    </row>
    <row r="1224" spans="6:8">
      <c r="F1224" s="420"/>
      <c r="G1224" s="419"/>
      <c r="H1224" s="419"/>
    </row>
    <row r="1225" spans="6:8">
      <c r="F1225" s="420"/>
      <c r="G1225" s="419"/>
      <c r="H1225" s="419"/>
    </row>
    <row r="1226" spans="6:8">
      <c r="F1226" s="420"/>
      <c r="G1226" s="419"/>
      <c r="H1226" s="419"/>
    </row>
    <row r="1227" spans="6:8">
      <c r="F1227" s="420"/>
      <c r="G1227" s="419"/>
      <c r="H1227" s="419"/>
    </row>
    <row r="1228" spans="6:8">
      <c r="F1228" s="420"/>
      <c r="G1228" s="419"/>
      <c r="H1228" s="419"/>
    </row>
    <row r="1229" spans="6:8">
      <c r="F1229" s="420"/>
      <c r="G1229" s="419"/>
      <c r="H1229" s="419"/>
    </row>
    <row r="1230" spans="6:8">
      <c r="F1230" s="420"/>
      <c r="G1230" s="419"/>
      <c r="H1230" s="419"/>
    </row>
    <row r="1231" spans="6:8">
      <c r="F1231" s="420"/>
      <c r="G1231" s="419"/>
      <c r="H1231" s="419"/>
    </row>
    <row r="1232" spans="6:8">
      <c r="F1232" s="420"/>
      <c r="G1232" s="419"/>
      <c r="H1232" s="419"/>
    </row>
    <row r="1233" spans="6:8">
      <c r="F1233" s="420"/>
      <c r="G1233" s="419"/>
      <c r="H1233" s="419"/>
    </row>
    <row r="1234" spans="6:8">
      <c r="F1234" s="420"/>
      <c r="G1234" s="419"/>
      <c r="H1234" s="419"/>
    </row>
    <row r="1235" spans="6:8">
      <c r="F1235" s="420"/>
      <c r="G1235" s="419"/>
      <c r="H1235" s="419"/>
    </row>
    <row r="1236" spans="6:8">
      <c r="F1236" s="420"/>
      <c r="G1236" s="419"/>
      <c r="H1236" s="419"/>
    </row>
    <row r="1237" spans="6:8">
      <c r="F1237" s="420"/>
      <c r="G1237" s="419"/>
      <c r="H1237" s="419"/>
    </row>
    <row r="1238" spans="6:8">
      <c r="F1238" s="420"/>
      <c r="G1238" s="419"/>
      <c r="H1238" s="419"/>
    </row>
    <row r="1239" spans="6:8">
      <c r="F1239" s="420"/>
      <c r="G1239" s="419"/>
      <c r="H1239" s="419"/>
    </row>
    <row r="1240" spans="6:8">
      <c r="F1240" s="420"/>
      <c r="G1240" s="419"/>
      <c r="H1240" s="419"/>
    </row>
    <row r="1241" spans="6:8">
      <c r="F1241" s="420"/>
      <c r="G1241" s="419"/>
      <c r="H1241" s="419"/>
    </row>
    <row r="1242" spans="6:8">
      <c r="F1242" s="420"/>
      <c r="G1242" s="419"/>
      <c r="H1242" s="419"/>
    </row>
    <row r="1243" spans="6:8">
      <c r="F1243" s="420"/>
      <c r="G1243" s="419"/>
      <c r="H1243" s="419"/>
    </row>
    <row r="1244" spans="6:8">
      <c r="F1244" s="420"/>
      <c r="G1244" s="419"/>
      <c r="H1244" s="419"/>
    </row>
    <row r="1245" spans="6:8">
      <c r="F1245" s="420"/>
      <c r="G1245" s="419"/>
      <c r="H1245" s="419"/>
    </row>
    <row r="1246" spans="6:8">
      <c r="F1246" s="420"/>
      <c r="G1246" s="419"/>
      <c r="H1246" s="419"/>
    </row>
    <row r="1247" spans="6:8">
      <c r="F1247" s="420"/>
      <c r="G1247" s="419"/>
      <c r="H1247" s="419"/>
    </row>
    <row r="1248" spans="6:8">
      <c r="F1248" s="420"/>
      <c r="G1248" s="419"/>
      <c r="H1248" s="419"/>
    </row>
    <row r="1249" spans="6:8">
      <c r="F1249" s="420"/>
      <c r="G1249" s="419"/>
      <c r="H1249" s="419"/>
    </row>
    <row r="1250" spans="6:8">
      <c r="F1250" s="420"/>
      <c r="G1250" s="419"/>
      <c r="H1250" s="419"/>
    </row>
    <row r="1251" spans="6:8">
      <c r="F1251" s="420"/>
      <c r="G1251" s="419"/>
      <c r="H1251" s="419"/>
    </row>
    <row r="1252" spans="6:8">
      <c r="F1252" s="420"/>
      <c r="G1252" s="419"/>
      <c r="H1252" s="419"/>
    </row>
    <row r="1253" spans="6:8">
      <c r="F1253" s="420"/>
      <c r="G1253" s="419"/>
      <c r="H1253" s="419"/>
    </row>
    <row r="1254" spans="6:8">
      <c r="F1254" s="420"/>
      <c r="G1254" s="419"/>
      <c r="H1254" s="419"/>
    </row>
    <row r="1255" spans="6:8">
      <c r="F1255" s="420"/>
      <c r="G1255" s="419"/>
      <c r="H1255" s="419"/>
    </row>
    <row r="1256" spans="6:8">
      <c r="F1256" s="420"/>
      <c r="G1256" s="419"/>
      <c r="H1256" s="419"/>
    </row>
    <row r="1257" spans="6:8">
      <c r="F1257" s="420"/>
      <c r="G1257" s="419"/>
      <c r="H1257" s="419"/>
    </row>
    <row r="1258" spans="6:8">
      <c r="F1258" s="420"/>
      <c r="G1258" s="419"/>
      <c r="H1258" s="419"/>
    </row>
    <row r="1259" spans="6:8">
      <c r="F1259" s="420"/>
      <c r="G1259" s="419"/>
      <c r="H1259" s="419"/>
    </row>
    <row r="1260" spans="6:8">
      <c r="F1260" s="420"/>
      <c r="G1260" s="419"/>
      <c r="H1260" s="419"/>
    </row>
    <row r="1261" spans="6:8">
      <c r="F1261" s="420"/>
      <c r="G1261" s="419"/>
      <c r="H1261" s="419"/>
    </row>
    <row r="1262" spans="6:8">
      <c r="F1262" s="420"/>
      <c r="G1262" s="419"/>
      <c r="H1262" s="419"/>
    </row>
    <row r="1263" spans="6:8">
      <c r="F1263" s="420"/>
      <c r="G1263" s="419"/>
      <c r="H1263" s="419"/>
    </row>
    <row r="1264" spans="6:8">
      <c r="F1264" s="420"/>
      <c r="G1264" s="419"/>
      <c r="H1264" s="419"/>
    </row>
    <row r="1265" spans="6:8">
      <c r="F1265" s="420"/>
      <c r="G1265" s="419"/>
      <c r="H1265" s="419"/>
    </row>
    <row r="1266" spans="6:8">
      <c r="F1266" s="420"/>
      <c r="G1266" s="419"/>
      <c r="H1266" s="419"/>
    </row>
    <row r="1267" spans="6:8">
      <c r="F1267" s="420"/>
      <c r="G1267" s="419"/>
      <c r="H1267" s="419"/>
    </row>
    <row r="1268" spans="6:8">
      <c r="F1268" s="420"/>
      <c r="G1268" s="419"/>
      <c r="H1268" s="419"/>
    </row>
    <row r="1269" spans="6:8">
      <c r="F1269" s="420"/>
      <c r="G1269" s="419"/>
      <c r="H1269" s="419"/>
    </row>
    <row r="1270" spans="6:8">
      <c r="F1270" s="420"/>
      <c r="G1270" s="419"/>
      <c r="H1270" s="419"/>
    </row>
    <row r="1271" spans="6:8">
      <c r="F1271" s="420"/>
      <c r="G1271" s="419"/>
      <c r="H1271" s="419"/>
    </row>
    <row r="1272" spans="6:8">
      <c r="F1272" s="420"/>
      <c r="G1272" s="419"/>
      <c r="H1272" s="419"/>
    </row>
    <row r="1273" spans="6:8">
      <c r="F1273" s="420"/>
      <c r="G1273" s="419"/>
      <c r="H1273" s="419"/>
    </row>
    <row r="1274" spans="6:8">
      <c r="F1274" s="420"/>
      <c r="G1274" s="419"/>
      <c r="H1274" s="419"/>
    </row>
    <row r="1275" spans="6:8">
      <c r="F1275" s="420"/>
      <c r="G1275" s="419"/>
      <c r="H1275" s="419"/>
    </row>
    <row r="1276" spans="6:8">
      <c r="F1276" s="420"/>
      <c r="G1276" s="419"/>
      <c r="H1276" s="419"/>
    </row>
    <row r="1277" spans="6:8">
      <c r="F1277" s="420"/>
      <c r="G1277" s="419"/>
      <c r="H1277" s="419"/>
    </row>
    <row r="1278" spans="6:8">
      <c r="F1278" s="420"/>
      <c r="G1278" s="419"/>
      <c r="H1278" s="419"/>
    </row>
    <row r="1279" spans="6:8">
      <c r="F1279" s="420"/>
      <c r="G1279" s="419"/>
      <c r="H1279" s="419"/>
    </row>
    <row r="1280" spans="6:8">
      <c r="F1280" s="420"/>
      <c r="G1280" s="419"/>
      <c r="H1280" s="419"/>
    </row>
    <row r="1281" spans="6:8">
      <c r="F1281" s="420"/>
      <c r="G1281" s="419"/>
      <c r="H1281" s="419"/>
    </row>
    <row r="1282" spans="6:8">
      <c r="F1282" s="420"/>
      <c r="G1282" s="419"/>
      <c r="H1282" s="419"/>
    </row>
    <row r="1283" spans="6:8">
      <c r="F1283" s="420"/>
      <c r="G1283" s="419"/>
      <c r="H1283" s="419"/>
    </row>
    <row r="1284" spans="6:8">
      <c r="F1284" s="420"/>
      <c r="G1284" s="419"/>
      <c r="H1284" s="419"/>
    </row>
    <row r="1285" spans="6:8">
      <c r="F1285" s="420"/>
      <c r="G1285" s="419"/>
      <c r="H1285" s="419"/>
    </row>
    <row r="1286" spans="6:8">
      <c r="F1286" s="420"/>
      <c r="G1286" s="419"/>
      <c r="H1286" s="419"/>
    </row>
    <row r="1287" spans="6:8">
      <c r="F1287" s="420"/>
      <c r="G1287" s="419"/>
      <c r="H1287" s="419"/>
    </row>
    <row r="1288" spans="6:8">
      <c r="F1288" s="420"/>
      <c r="G1288" s="419"/>
      <c r="H1288" s="419"/>
    </row>
    <row r="1289" spans="6:8">
      <c r="F1289" s="420"/>
      <c r="G1289" s="419"/>
      <c r="H1289" s="419"/>
    </row>
    <row r="1290" spans="6:8">
      <c r="F1290" s="420"/>
      <c r="G1290" s="419"/>
      <c r="H1290" s="419"/>
    </row>
    <row r="1291" spans="6:8">
      <c r="F1291" s="420"/>
      <c r="G1291" s="419"/>
      <c r="H1291" s="419"/>
    </row>
    <row r="1292" spans="6:8">
      <c r="F1292" s="420"/>
      <c r="G1292" s="419"/>
      <c r="H1292" s="419"/>
    </row>
    <row r="1293" spans="6:8">
      <c r="F1293" s="420"/>
      <c r="G1293" s="419"/>
      <c r="H1293" s="419"/>
    </row>
    <row r="1294" spans="6:8">
      <c r="F1294" s="420"/>
      <c r="G1294" s="419"/>
      <c r="H1294" s="419"/>
    </row>
    <row r="1295" spans="6:8">
      <c r="F1295" s="420"/>
      <c r="G1295" s="419"/>
      <c r="H1295" s="419"/>
    </row>
    <row r="1296" spans="6:8">
      <c r="F1296" s="420"/>
      <c r="G1296" s="419"/>
      <c r="H1296" s="419"/>
    </row>
    <row r="1297" spans="6:8">
      <c r="F1297" s="420"/>
      <c r="G1297" s="419"/>
      <c r="H1297" s="419"/>
    </row>
    <row r="1298" spans="6:8">
      <c r="F1298" s="420"/>
      <c r="G1298" s="419"/>
      <c r="H1298" s="419"/>
    </row>
    <row r="1299" spans="6:8">
      <c r="F1299" s="420"/>
      <c r="G1299" s="419"/>
      <c r="H1299" s="419"/>
    </row>
    <row r="1300" spans="6:8">
      <c r="F1300" s="420"/>
      <c r="G1300" s="419"/>
      <c r="H1300" s="419"/>
    </row>
    <row r="1301" spans="6:8">
      <c r="F1301" s="420"/>
      <c r="G1301" s="419"/>
      <c r="H1301" s="419"/>
    </row>
    <row r="1302" spans="6:8">
      <c r="F1302" s="420"/>
      <c r="G1302" s="419"/>
      <c r="H1302" s="419"/>
    </row>
    <row r="1303" spans="6:8">
      <c r="F1303" s="420"/>
      <c r="G1303" s="419"/>
      <c r="H1303" s="419"/>
    </row>
    <row r="1304" spans="6:8">
      <c r="F1304" s="420"/>
      <c r="G1304" s="419"/>
      <c r="H1304" s="419"/>
    </row>
    <row r="1305" spans="6:8">
      <c r="F1305" s="420"/>
      <c r="G1305" s="419"/>
      <c r="H1305" s="419"/>
    </row>
    <row r="1306" spans="6:8">
      <c r="F1306" s="420"/>
      <c r="G1306" s="419"/>
      <c r="H1306" s="419"/>
    </row>
    <row r="1307" spans="6:8">
      <c r="F1307" s="420"/>
      <c r="G1307" s="419"/>
      <c r="H1307" s="419"/>
    </row>
    <row r="1308" spans="6:8">
      <c r="F1308" s="420"/>
      <c r="G1308" s="419"/>
      <c r="H1308" s="419"/>
    </row>
    <row r="1309" spans="6:8">
      <c r="F1309" s="420"/>
      <c r="G1309" s="419"/>
      <c r="H1309" s="419"/>
    </row>
    <row r="1310" spans="6:8">
      <c r="F1310" s="420"/>
      <c r="G1310" s="419"/>
      <c r="H1310" s="419"/>
    </row>
    <row r="1311" spans="6:8">
      <c r="F1311" s="420"/>
      <c r="G1311" s="419"/>
      <c r="H1311" s="419"/>
    </row>
    <row r="1312" spans="6:8">
      <c r="F1312" s="420"/>
      <c r="G1312" s="419"/>
      <c r="H1312" s="419"/>
    </row>
    <row r="1313" spans="6:8">
      <c r="F1313" s="420"/>
      <c r="G1313" s="419"/>
      <c r="H1313" s="419"/>
    </row>
    <row r="1314" spans="6:8">
      <c r="F1314" s="420"/>
      <c r="G1314" s="419"/>
      <c r="H1314" s="419"/>
    </row>
    <row r="1315" spans="6:8">
      <c r="F1315" s="420"/>
      <c r="G1315" s="419"/>
      <c r="H1315" s="419"/>
    </row>
    <row r="1316" spans="6:8">
      <c r="F1316" s="420"/>
      <c r="G1316" s="419"/>
      <c r="H1316" s="419"/>
    </row>
    <row r="1317" spans="6:8">
      <c r="F1317" s="420"/>
      <c r="G1317" s="419"/>
      <c r="H1317" s="419"/>
    </row>
    <row r="1318" spans="6:8">
      <c r="F1318" s="420"/>
      <c r="G1318" s="419"/>
      <c r="H1318" s="419"/>
    </row>
    <row r="1319" spans="6:8">
      <c r="F1319" s="420"/>
      <c r="G1319" s="419"/>
      <c r="H1319" s="419"/>
    </row>
    <row r="1320" spans="6:8">
      <c r="F1320" s="420"/>
      <c r="G1320" s="419"/>
      <c r="H1320" s="419"/>
    </row>
    <row r="1321" spans="6:8">
      <c r="F1321" s="420"/>
      <c r="G1321" s="419"/>
      <c r="H1321" s="419"/>
    </row>
    <row r="1322" spans="6:8">
      <c r="F1322" s="420"/>
      <c r="G1322" s="419"/>
      <c r="H1322" s="419"/>
    </row>
    <row r="1323" spans="6:8">
      <c r="F1323" s="420"/>
      <c r="G1323" s="419"/>
      <c r="H1323" s="419"/>
    </row>
    <row r="1324" spans="6:8">
      <c r="F1324" s="420"/>
      <c r="G1324" s="419"/>
      <c r="H1324" s="419"/>
    </row>
    <row r="1325" spans="6:8">
      <c r="F1325" s="420"/>
      <c r="G1325" s="419"/>
      <c r="H1325" s="419"/>
    </row>
    <row r="1326" spans="6:8">
      <c r="F1326" s="420"/>
      <c r="G1326" s="419"/>
      <c r="H1326" s="419"/>
    </row>
    <row r="1327" spans="6:8">
      <c r="F1327" s="420"/>
      <c r="G1327" s="419"/>
      <c r="H1327" s="419"/>
    </row>
    <row r="1328" spans="6:8">
      <c r="F1328" s="420"/>
      <c r="G1328" s="419"/>
      <c r="H1328" s="419"/>
    </row>
    <row r="1329" spans="6:8">
      <c r="F1329" s="420"/>
      <c r="G1329" s="419"/>
      <c r="H1329" s="419"/>
    </row>
    <row r="1330" spans="6:8">
      <c r="F1330" s="420"/>
      <c r="G1330" s="419"/>
      <c r="H1330" s="419"/>
    </row>
    <row r="1331" spans="6:8">
      <c r="F1331" s="420"/>
      <c r="G1331" s="419"/>
      <c r="H1331" s="419"/>
    </row>
    <row r="1332" spans="6:8">
      <c r="F1332" s="420"/>
      <c r="G1332" s="419"/>
      <c r="H1332" s="419"/>
    </row>
    <row r="1333" spans="6:8">
      <c r="F1333" s="420"/>
      <c r="G1333" s="419"/>
      <c r="H1333" s="419"/>
    </row>
    <row r="1334" spans="6:8">
      <c r="F1334" s="420"/>
      <c r="G1334" s="419"/>
      <c r="H1334" s="419"/>
    </row>
    <row r="1335" spans="6:8">
      <c r="F1335" s="420"/>
      <c r="G1335" s="419"/>
      <c r="H1335" s="419"/>
    </row>
    <row r="1336" spans="6:8">
      <c r="F1336" s="420"/>
      <c r="G1336" s="419"/>
      <c r="H1336" s="419"/>
    </row>
    <row r="1337" spans="6:8">
      <c r="F1337" s="420"/>
      <c r="G1337" s="419"/>
      <c r="H1337" s="419"/>
    </row>
    <row r="1338" spans="6:8">
      <c r="F1338" s="420"/>
      <c r="G1338" s="419"/>
      <c r="H1338" s="419"/>
    </row>
    <row r="1339" spans="6:8">
      <c r="F1339" s="420"/>
      <c r="G1339" s="419"/>
      <c r="H1339" s="419"/>
    </row>
    <row r="1340" spans="6:8">
      <c r="F1340" s="420"/>
      <c r="G1340" s="419"/>
      <c r="H1340" s="419"/>
    </row>
    <row r="1341" spans="6:8">
      <c r="F1341" s="420"/>
      <c r="G1341" s="419"/>
      <c r="H1341" s="419"/>
    </row>
    <row r="1342" spans="6:8">
      <c r="F1342" s="420"/>
      <c r="G1342" s="419"/>
      <c r="H1342" s="419"/>
    </row>
    <row r="1343" spans="6:8">
      <c r="F1343" s="420"/>
      <c r="G1343" s="419"/>
      <c r="H1343" s="419"/>
    </row>
    <row r="1344" spans="6:8">
      <c r="F1344" s="420"/>
      <c r="G1344" s="419"/>
      <c r="H1344" s="419"/>
    </row>
    <row r="1345" spans="6:8">
      <c r="F1345" s="420"/>
      <c r="G1345" s="419"/>
      <c r="H1345" s="419"/>
    </row>
    <row r="1346" spans="6:8">
      <c r="F1346" s="420"/>
      <c r="G1346" s="419"/>
      <c r="H1346" s="419"/>
    </row>
    <row r="1347" spans="6:8">
      <c r="F1347" s="420"/>
      <c r="G1347" s="419"/>
      <c r="H1347" s="419"/>
    </row>
    <row r="1348" spans="6:8">
      <c r="F1348" s="420"/>
      <c r="G1348" s="419"/>
      <c r="H1348" s="419"/>
    </row>
    <row r="1349" spans="6:8">
      <c r="F1349" s="420"/>
      <c r="G1349" s="419"/>
      <c r="H1349" s="419"/>
    </row>
    <row r="1350" spans="6:8">
      <c r="F1350" s="420"/>
      <c r="G1350" s="419"/>
      <c r="H1350" s="419"/>
    </row>
    <row r="1351" spans="6:8">
      <c r="F1351" s="420"/>
      <c r="G1351" s="419"/>
      <c r="H1351" s="419"/>
    </row>
    <row r="1352" spans="6:8">
      <c r="F1352" s="420"/>
      <c r="G1352" s="419"/>
      <c r="H1352" s="419"/>
    </row>
    <row r="1353" spans="6:8">
      <c r="F1353" s="420"/>
      <c r="G1353" s="419"/>
      <c r="H1353" s="419"/>
    </row>
    <row r="1354" spans="6:8">
      <c r="F1354" s="420"/>
      <c r="G1354" s="419"/>
      <c r="H1354" s="419"/>
    </row>
    <row r="1355" spans="6:8">
      <c r="F1355" s="420"/>
      <c r="G1355" s="419"/>
      <c r="H1355" s="419"/>
    </row>
    <row r="1356" spans="6:8">
      <c r="F1356" s="420"/>
      <c r="G1356" s="419"/>
      <c r="H1356" s="419"/>
    </row>
    <row r="1357" spans="6:8">
      <c r="F1357" s="420"/>
      <c r="G1357" s="419"/>
      <c r="H1357" s="419"/>
    </row>
    <row r="1358" spans="6:8">
      <c r="F1358" s="420"/>
      <c r="G1358" s="419"/>
      <c r="H1358" s="419"/>
    </row>
    <row r="1359" spans="6:8">
      <c r="F1359" s="420"/>
      <c r="G1359" s="419"/>
      <c r="H1359" s="419"/>
    </row>
    <row r="1360" spans="6:8">
      <c r="F1360" s="420"/>
      <c r="G1360" s="419"/>
      <c r="H1360" s="419"/>
    </row>
    <row r="1361" spans="6:8">
      <c r="F1361" s="420"/>
      <c r="G1361" s="419"/>
      <c r="H1361" s="419"/>
    </row>
    <row r="1362" spans="6:8">
      <c r="F1362" s="420"/>
      <c r="G1362" s="419"/>
      <c r="H1362" s="419"/>
    </row>
    <row r="1363" spans="6:8">
      <c r="F1363" s="420"/>
      <c r="G1363" s="419"/>
      <c r="H1363" s="419"/>
    </row>
    <row r="1364" spans="6:8">
      <c r="F1364" s="420"/>
      <c r="G1364" s="419"/>
      <c r="H1364" s="419"/>
    </row>
    <row r="1365" spans="6:8">
      <c r="F1365" s="420"/>
      <c r="G1365" s="419"/>
      <c r="H1365" s="419"/>
    </row>
    <row r="1366" spans="6:8">
      <c r="F1366" s="420"/>
      <c r="G1366" s="419"/>
      <c r="H1366" s="419"/>
    </row>
    <row r="1367" spans="6:8">
      <c r="F1367" s="420"/>
      <c r="G1367" s="419"/>
      <c r="H1367" s="419"/>
    </row>
    <row r="1368" spans="6:8">
      <c r="F1368" s="420"/>
      <c r="G1368" s="419"/>
      <c r="H1368" s="419"/>
    </row>
    <row r="1369" spans="6:8">
      <c r="F1369" s="420"/>
      <c r="G1369" s="419"/>
      <c r="H1369" s="419"/>
    </row>
    <row r="1370" spans="6:8">
      <c r="F1370" s="420"/>
      <c r="G1370" s="419"/>
      <c r="H1370" s="419"/>
    </row>
  </sheetData>
  <mergeCells count="7">
    <mergeCell ref="B15:F15"/>
    <mergeCell ref="B16:F16"/>
    <mergeCell ref="B2:J8"/>
    <mergeCell ref="B10:J10"/>
    <mergeCell ref="B11:J11"/>
    <mergeCell ref="B12:J12"/>
    <mergeCell ref="B14:J14"/>
  </mergeCells>
  <conditionalFormatting sqref="F18">
    <cfRule type="cellIs" dxfId="4" priority="5" operator="greaterThan">
      <formula>0</formula>
    </cfRule>
  </conditionalFormatting>
  <conditionalFormatting sqref="J18">
    <cfRule type="cellIs" dxfId="3" priority="1" operator="greaterThan">
      <formula>0</formula>
    </cfRule>
  </conditionalFormatting>
  <conditionalFormatting sqref="G18">
    <cfRule type="cellIs" dxfId="2" priority="4" operator="greaterThan">
      <formula>0</formula>
    </cfRule>
  </conditionalFormatting>
  <conditionalFormatting sqref="H18">
    <cfRule type="cellIs" dxfId="1" priority="3" operator="greaterThan">
      <formula>0</formula>
    </cfRule>
  </conditionalFormatting>
  <conditionalFormatting sqref="I18">
    <cfRule type="cellIs" dxfId="0" priority="2" operator="greaterThan">
      <formula>0</formula>
    </cfRule>
  </conditionalFormatting>
  <printOptions horizontalCentered="1"/>
  <pageMargins left="0.51181102362204722" right="0.51181102362204722" top="0.78740157480314965" bottom="0.78740157480314965" header="0.31496062992125984" footer="0.31496062992125984"/>
  <pageSetup paperSize="9" scale="48" fitToHeight="100" orientation="portrait" r:id="rId1"/>
  <rowBreaks count="4" manualBreakCount="4">
    <brk id="102" min="1" max="9" man="1"/>
    <brk id="188" min="1" max="9" man="1"/>
    <brk id="471" min="1" max="9" man="1"/>
    <brk id="843" min="1" max="9" man="1"/>
  </rowBreaks>
  <drawing r:id="rId2"/>
  <legacyDrawing r:id="rId3"/>
  <oleObjects>
    <mc:AlternateContent xmlns:mc="http://schemas.openxmlformats.org/markup-compatibility/2006">
      <mc:Choice Requires="x14">
        <oleObject shapeId="10241" r:id="rId4">
          <objectPr defaultSize="0" autoPict="0" r:id="rId5">
            <anchor moveWithCells="1" sizeWithCells="1">
              <from>
                <xdr:col>2</xdr:col>
                <xdr:colOff>1133475</xdr:colOff>
                <xdr:row>1</xdr:row>
                <xdr:rowOff>47625</xdr:rowOff>
              </from>
              <to>
                <xdr:col>2</xdr:col>
                <xdr:colOff>2200275</xdr:colOff>
                <xdr:row>7</xdr:row>
                <xdr:rowOff>123825</xdr:rowOff>
              </to>
            </anchor>
          </objectPr>
        </oleObject>
      </mc:Choice>
      <mc:Fallback>
        <oleObject shapeId="10241"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B1:J1227"/>
  <sheetViews>
    <sheetView view="pageBreakPreview" topLeftCell="A1195" zoomScaleNormal="100" zoomScaleSheetLayoutView="100" workbookViewId="0">
      <selection activeCell="D1187" sqref="D1187"/>
    </sheetView>
  </sheetViews>
  <sheetFormatPr defaultRowHeight="15"/>
  <cols>
    <col min="1" max="1" width="3.28515625" style="231" customWidth="1"/>
    <col min="2" max="2" width="57.140625" style="231" customWidth="1"/>
    <col min="3" max="3" width="10.42578125" style="231" bestFit="1" customWidth="1"/>
    <col min="4" max="4" width="8.28515625" style="231" customWidth="1"/>
    <col min="5" max="5" width="8.5703125" style="231" bestFit="1" customWidth="1"/>
    <col min="6" max="6" width="8.7109375" style="231" bestFit="1" customWidth="1"/>
    <col min="7" max="7" width="13.7109375" style="231" bestFit="1" customWidth="1"/>
    <col min="8" max="8" width="8.28515625" style="231" bestFit="1" customWidth="1"/>
    <col min="9" max="10" width="12.5703125" style="231" bestFit="1" customWidth="1"/>
    <col min="11" max="11" width="15.28515625" style="231" customWidth="1"/>
    <col min="12" max="16384" width="9.140625" style="231"/>
  </cols>
  <sheetData>
    <row r="1" spans="2:10" ht="15.75" thickBot="1"/>
    <row r="2" spans="2:10" ht="15" customHeight="1">
      <c r="B2" s="603" t="s">
        <v>0</v>
      </c>
      <c r="C2" s="658"/>
      <c r="D2" s="658"/>
      <c r="E2" s="658"/>
      <c r="F2" s="658"/>
      <c r="G2" s="658"/>
      <c r="H2" s="658"/>
      <c r="I2" s="658"/>
      <c r="J2" s="659"/>
    </row>
    <row r="3" spans="2:10">
      <c r="B3" s="660"/>
      <c r="C3" s="661"/>
      <c r="D3" s="661"/>
      <c r="E3" s="661"/>
      <c r="F3" s="661"/>
      <c r="G3" s="661"/>
      <c r="H3" s="661"/>
      <c r="I3" s="661"/>
      <c r="J3" s="662"/>
    </row>
    <row r="4" spans="2:10">
      <c r="B4" s="660"/>
      <c r="C4" s="661"/>
      <c r="D4" s="661"/>
      <c r="E4" s="661"/>
      <c r="F4" s="661"/>
      <c r="G4" s="661"/>
      <c r="H4" s="661"/>
      <c r="I4" s="661"/>
      <c r="J4" s="662"/>
    </row>
    <row r="5" spans="2:10">
      <c r="B5" s="660"/>
      <c r="C5" s="661"/>
      <c r="D5" s="661"/>
      <c r="E5" s="661"/>
      <c r="F5" s="661"/>
      <c r="G5" s="661"/>
      <c r="H5" s="661"/>
      <c r="I5" s="661"/>
      <c r="J5" s="662"/>
    </row>
    <row r="6" spans="2:10">
      <c r="B6" s="660"/>
      <c r="C6" s="661"/>
      <c r="D6" s="661"/>
      <c r="E6" s="661"/>
      <c r="F6" s="661"/>
      <c r="G6" s="661"/>
      <c r="H6" s="661"/>
      <c r="I6" s="661"/>
      <c r="J6" s="662"/>
    </row>
    <row r="7" spans="2:10">
      <c r="B7" s="660"/>
      <c r="C7" s="661"/>
      <c r="D7" s="661"/>
      <c r="E7" s="661"/>
      <c r="F7" s="661"/>
      <c r="G7" s="661"/>
      <c r="H7" s="661"/>
      <c r="I7" s="661"/>
      <c r="J7" s="662"/>
    </row>
    <row r="8" spans="2:10">
      <c r="B8" s="660"/>
      <c r="C8" s="661"/>
      <c r="D8" s="661"/>
      <c r="E8" s="661"/>
      <c r="F8" s="661"/>
      <c r="G8" s="661"/>
      <c r="H8" s="661"/>
      <c r="I8" s="661"/>
      <c r="J8" s="662"/>
    </row>
    <row r="9" spans="2:10" ht="15.75" thickBot="1">
      <c r="B9" s="232"/>
      <c r="C9" s="233"/>
      <c r="D9" s="233"/>
      <c r="E9" s="233"/>
      <c r="F9" s="233"/>
      <c r="G9" s="233"/>
      <c r="H9" s="234"/>
      <c r="I9" s="235"/>
      <c r="J9" s="236"/>
    </row>
    <row r="10" spans="2:10" ht="15" customHeight="1">
      <c r="B10" s="237" t="s">
        <v>525</v>
      </c>
      <c r="C10" s="238"/>
      <c r="D10" s="238"/>
      <c r="E10" s="238"/>
      <c r="F10" s="238"/>
      <c r="G10" s="238"/>
      <c r="H10" s="238"/>
      <c r="I10" s="239" t="s">
        <v>985</v>
      </c>
      <c r="J10" s="240">
        <v>0.91500000000000004</v>
      </c>
    </row>
    <row r="11" spans="2:10" ht="15" customHeight="1">
      <c r="B11" s="241" t="s">
        <v>488</v>
      </c>
      <c r="C11" s="242"/>
      <c r="D11" s="242"/>
      <c r="E11" s="242"/>
      <c r="F11" s="242"/>
      <c r="G11" s="242"/>
      <c r="H11" s="348" t="s">
        <v>986</v>
      </c>
      <c r="I11" s="349">
        <f>BDI</f>
        <v>0.28220000000000001</v>
      </c>
      <c r="J11" s="350">
        <v>0.14019999999999999</v>
      </c>
    </row>
    <row r="12" spans="2:10" ht="15.75" customHeight="1" thickBot="1">
      <c r="B12" s="243" t="s">
        <v>987</v>
      </c>
      <c r="C12" s="244"/>
      <c r="D12" s="244"/>
      <c r="E12" s="244"/>
      <c r="F12" s="244"/>
      <c r="G12" s="244"/>
      <c r="H12" s="244"/>
      <c r="I12" s="245" t="s">
        <v>988</v>
      </c>
      <c r="J12" s="246" t="s">
        <v>989</v>
      </c>
    </row>
    <row r="13" spans="2:10" ht="15.75" thickBot="1">
      <c r="C13" s="247"/>
      <c r="D13" s="247"/>
      <c r="E13" s="247"/>
      <c r="F13" s="247"/>
      <c r="G13" s="247"/>
      <c r="H13" s="247"/>
      <c r="I13" s="248"/>
    </row>
    <row r="14" spans="2:10" ht="15.75" customHeight="1" thickBot="1">
      <c r="B14" s="696" t="s">
        <v>990</v>
      </c>
      <c r="C14" s="697"/>
      <c r="D14" s="697"/>
      <c r="E14" s="697"/>
      <c r="F14" s="697"/>
      <c r="G14" s="697"/>
      <c r="H14" s="697"/>
      <c r="I14" s="697"/>
      <c r="J14" s="698"/>
    </row>
    <row r="15" spans="2:10" ht="15" customHeight="1">
      <c r="B15" s="699" t="s">
        <v>7</v>
      </c>
      <c r="C15" s="699"/>
      <c r="D15" s="699"/>
      <c r="E15" s="699"/>
      <c r="F15" s="699"/>
      <c r="G15" s="699"/>
      <c r="H15" s="699"/>
      <c r="I15" s="699"/>
      <c r="J15" s="699"/>
    </row>
    <row r="16" spans="2:10" ht="15" customHeight="1" thickBot="1">
      <c r="B16" s="699" t="s">
        <v>8</v>
      </c>
      <c r="C16" s="699"/>
      <c r="D16" s="699"/>
      <c r="E16" s="699"/>
      <c r="F16" s="699"/>
      <c r="G16" s="699"/>
      <c r="H16" s="699"/>
      <c r="I16" s="699"/>
      <c r="J16" s="699"/>
    </row>
    <row r="17" spans="2:10">
      <c r="B17" s="700" t="s">
        <v>991</v>
      </c>
      <c r="C17" s="249" t="s">
        <v>992</v>
      </c>
      <c r="D17" s="250">
        <v>6</v>
      </c>
      <c r="E17" s="251" t="s">
        <v>993</v>
      </c>
      <c r="F17" s="252">
        <v>2017</v>
      </c>
      <c r="G17" s="253"/>
      <c r="H17" s="253"/>
      <c r="I17" s="251" t="s">
        <v>994</v>
      </c>
      <c r="J17" s="254" t="s">
        <v>535</v>
      </c>
    </row>
    <row r="18" spans="2:10" ht="15" customHeight="1">
      <c r="B18" s="701"/>
      <c r="C18" s="255" t="s">
        <v>995</v>
      </c>
      <c r="D18" s="704" t="s">
        <v>996</v>
      </c>
      <c r="E18" s="704"/>
      <c r="F18" s="256"/>
      <c r="G18" s="256"/>
      <c r="H18" s="256"/>
      <c r="I18" s="256"/>
      <c r="J18" s="257"/>
    </row>
    <row r="19" spans="2:10" ht="15" customHeight="1">
      <c r="B19" s="701"/>
      <c r="C19" s="255" t="s">
        <v>997</v>
      </c>
      <c r="D19" s="707" t="s">
        <v>998</v>
      </c>
      <c r="E19" s="707"/>
      <c r="F19" s="707"/>
      <c r="G19" s="707"/>
      <c r="H19" s="707"/>
      <c r="I19" s="707"/>
      <c r="J19" s="708"/>
    </row>
    <row r="20" spans="2:10" ht="15" customHeight="1" thickBot="1">
      <c r="B20" s="702"/>
      <c r="C20" s="258" t="s">
        <v>999</v>
      </c>
      <c r="D20" s="259" t="s">
        <v>1000</v>
      </c>
      <c r="E20" s="260"/>
      <c r="F20" s="260"/>
      <c r="G20" s="260"/>
      <c r="H20" s="260"/>
      <c r="I20" s="260"/>
      <c r="J20" s="261"/>
    </row>
    <row r="21" spans="2:10">
      <c r="B21" s="262"/>
      <c r="C21" s="262"/>
      <c r="D21" s="262"/>
      <c r="E21" s="262"/>
      <c r="F21" s="262"/>
      <c r="G21" s="312">
        <f>ORCAMENTO!J321</f>
        <v>1877391.4100000006</v>
      </c>
      <c r="H21" s="262"/>
      <c r="I21" s="262"/>
      <c r="J21" s="262"/>
    </row>
    <row r="22" spans="2:10" ht="30">
      <c r="B22" s="263" t="s">
        <v>1001</v>
      </c>
      <c r="C22" s="264" t="s">
        <v>1002</v>
      </c>
      <c r="D22" s="264" t="s">
        <v>1003</v>
      </c>
      <c r="E22" s="265" t="s">
        <v>1004</v>
      </c>
      <c r="F22" s="265" t="s">
        <v>1005</v>
      </c>
      <c r="G22" s="265" t="s">
        <v>1006</v>
      </c>
      <c r="H22" s="265" t="s">
        <v>1007</v>
      </c>
      <c r="I22" s="265" t="s">
        <v>1008</v>
      </c>
      <c r="J22" s="265" t="s">
        <v>1009</v>
      </c>
    </row>
    <row r="23" spans="2:10" ht="30">
      <c r="B23" s="295" t="s">
        <v>1104</v>
      </c>
      <c r="C23" s="267" t="s">
        <v>1010</v>
      </c>
      <c r="D23" s="267">
        <v>93565</v>
      </c>
      <c r="E23" s="268">
        <v>0.182198</v>
      </c>
      <c r="F23" s="268">
        <v>1</v>
      </c>
      <c r="G23" s="302">
        <f>12317.57/1.5225</f>
        <v>8090.3579638752053</v>
      </c>
      <c r="H23" s="268">
        <v>0</v>
      </c>
      <c r="I23" s="302">
        <f>ROUND(G23*1.5225,2)</f>
        <v>12317.57</v>
      </c>
      <c r="J23" s="269">
        <f>I23*E23</f>
        <v>2244.2366188599999</v>
      </c>
    </row>
    <row r="24" spans="2:10" ht="30">
      <c r="B24" s="295" t="s">
        <v>1105</v>
      </c>
      <c r="C24" s="267" t="s">
        <v>1010</v>
      </c>
      <c r="D24" s="267">
        <v>93563</v>
      </c>
      <c r="E24" s="268">
        <v>1</v>
      </c>
      <c r="F24" s="268">
        <v>1</v>
      </c>
      <c r="G24" s="302">
        <f>3213.11/1.5225</f>
        <v>2110.4170771756981</v>
      </c>
      <c r="H24" s="268">
        <v>0</v>
      </c>
      <c r="I24" s="302">
        <f t="shared" ref="I24:I25" si="0">ROUND(G24*1.5225,2)</f>
        <v>3213.11</v>
      </c>
      <c r="J24" s="269">
        <f>I24*E24</f>
        <v>3213.11</v>
      </c>
    </row>
    <row r="25" spans="2:10" ht="30">
      <c r="B25" s="295" t="s">
        <v>1106</v>
      </c>
      <c r="C25" s="267" t="s">
        <v>1010</v>
      </c>
      <c r="D25" s="267">
        <v>93572</v>
      </c>
      <c r="E25" s="268">
        <v>1</v>
      </c>
      <c r="F25" s="268">
        <v>1</v>
      </c>
      <c r="G25" s="302">
        <f>5858.04/1.5225</f>
        <v>3847.6453201970444</v>
      </c>
      <c r="H25" s="268">
        <v>0</v>
      </c>
      <c r="I25" s="302">
        <f t="shared" si="0"/>
        <v>5858.04</v>
      </c>
      <c r="J25" s="269">
        <f>I25*E25</f>
        <v>5858.04</v>
      </c>
    </row>
    <row r="26" spans="2:10">
      <c r="B26" s="266"/>
      <c r="C26" s="267"/>
      <c r="D26" s="267"/>
      <c r="E26" s="268"/>
      <c r="F26" s="268"/>
      <c r="G26" s="268"/>
      <c r="H26" s="268"/>
      <c r="I26" s="268"/>
      <c r="J26" s="269"/>
    </row>
    <row r="27" spans="2:10">
      <c r="B27" s="266"/>
      <c r="C27" s="267"/>
      <c r="D27" s="267"/>
      <c r="E27" s="268"/>
      <c r="F27" s="268"/>
      <c r="G27" s="268"/>
      <c r="H27" s="268"/>
      <c r="I27" s="268"/>
      <c r="J27" s="269"/>
    </row>
    <row r="28" spans="2:10">
      <c r="B28" s="266"/>
      <c r="C28" s="266"/>
      <c r="D28" s="267"/>
      <c r="E28" s="267"/>
      <c r="F28" s="268"/>
      <c r="G28" s="268"/>
      <c r="H28" s="268"/>
      <c r="I28" s="268"/>
      <c r="J28" s="269"/>
    </row>
    <row r="29" spans="2:10">
      <c r="B29" s="686" t="s">
        <v>1011</v>
      </c>
      <c r="C29" s="687"/>
      <c r="D29" s="687"/>
      <c r="E29" s="687"/>
      <c r="F29" s="687"/>
      <c r="G29" s="687"/>
      <c r="H29" s="687"/>
      <c r="I29" s="688"/>
      <c r="J29" s="270">
        <f>ROUND(SUM(J23:J28),2)</f>
        <v>11315.39</v>
      </c>
    </row>
    <row r="30" spans="2:10">
      <c r="B30" s="689"/>
      <c r="C30" s="689"/>
      <c r="D30" s="689"/>
      <c r="E30" s="689"/>
      <c r="F30" s="689"/>
      <c r="G30" s="689"/>
      <c r="H30" s="689"/>
      <c r="I30" s="689"/>
      <c r="J30" s="689"/>
    </row>
    <row r="31" spans="2:10" ht="30">
      <c r="B31" s="263" t="s">
        <v>1012</v>
      </c>
      <c r="C31" s="264" t="s">
        <v>1002</v>
      </c>
      <c r="D31" s="264" t="s">
        <v>1003</v>
      </c>
      <c r="E31" s="265" t="s">
        <v>1004</v>
      </c>
      <c r="F31" s="265" t="s">
        <v>1005</v>
      </c>
      <c r="G31" s="265" t="s">
        <v>1006</v>
      </c>
      <c r="H31" s="265" t="s">
        <v>1007</v>
      </c>
      <c r="I31" s="265" t="s">
        <v>1008</v>
      </c>
      <c r="J31" s="265" t="s">
        <v>1009</v>
      </c>
    </row>
    <row r="32" spans="2:10">
      <c r="B32" s="266"/>
      <c r="C32" s="267"/>
      <c r="D32" s="267"/>
      <c r="E32" s="268"/>
      <c r="F32" s="268"/>
      <c r="G32" s="268"/>
      <c r="H32" s="268"/>
      <c r="I32" s="268"/>
      <c r="J32" s="269"/>
    </row>
    <row r="33" spans="2:10">
      <c r="B33" s="266"/>
      <c r="C33" s="267"/>
      <c r="D33" s="267"/>
      <c r="E33" s="268"/>
      <c r="F33" s="268"/>
      <c r="G33" s="268"/>
      <c r="H33" s="268"/>
      <c r="I33" s="268"/>
      <c r="J33" s="269"/>
    </row>
    <row r="34" spans="2:10">
      <c r="B34" s="266"/>
      <c r="C34" s="267"/>
      <c r="D34" s="267"/>
      <c r="E34" s="268"/>
      <c r="F34" s="268"/>
      <c r="G34" s="268"/>
      <c r="H34" s="268"/>
      <c r="I34" s="268"/>
      <c r="J34" s="269"/>
    </row>
    <row r="35" spans="2:10">
      <c r="B35" s="266"/>
      <c r="C35" s="267"/>
      <c r="D35" s="267"/>
      <c r="E35" s="268"/>
      <c r="F35" s="268"/>
      <c r="G35" s="268"/>
      <c r="H35" s="268"/>
      <c r="I35" s="268"/>
      <c r="J35" s="269"/>
    </row>
    <row r="36" spans="2:10">
      <c r="B36" s="266"/>
      <c r="C36" s="266"/>
      <c r="D36" s="267"/>
      <c r="E36" s="267"/>
      <c r="F36" s="268"/>
      <c r="G36" s="268"/>
      <c r="H36" s="268"/>
      <c r="I36" s="268"/>
      <c r="J36" s="269"/>
    </row>
    <row r="37" spans="2:10">
      <c r="B37" s="266"/>
      <c r="C37" s="266"/>
      <c r="D37" s="267"/>
      <c r="E37" s="267"/>
      <c r="F37" s="268"/>
      <c r="G37" s="268"/>
      <c r="H37" s="268"/>
      <c r="I37" s="268"/>
      <c r="J37" s="269"/>
    </row>
    <row r="38" spans="2:10">
      <c r="B38" s="266"/>
      <c r="C38" s="266"/>
      <c r="D38" s="267"/>
      <c r="E38" s="267"/>
      <c r="F38" s="268"/>
      <c r="G38" s="268"/>
      <c r="H38" s="268"/>
      <c r="I38" s="268"/>
      <c r="J38" s="269"/>
    </row>
    <row r="39" spans="2:10">
      <c r="B39" s="266"/>
      <c r="C39" s="266"/>
      <c r="D39" s="267"/>
      <c r="E39" s="267"/>
      <c r="F39" s="268"/>
      <c r="G39" s="268"/>
      <c r="H39" s="268"/>
      <c r="I39" s="268"/>
      <c r="J39" s="269"/>
    </row>
    <row r="40" spans="2:10">
      <c r="B40" s="266"/>
      <c r="C40" s="266"/>
      <c r="D40" s="267"/>
      <c r="E40" s="267"/>
      <c r="F40" s="268"/>
      <c r="G40" s="268"/>
      <c r="H40" s="268"/>
      <c r="I40" s="268"/>
      <c r="J40" s="269"/>
    </row>
    <row r="41" spans="2:10">
      <c r="B41" s="266"/>
      <c r="C41" s="266"/>
      <c r="D41" s="267"/>
      <c r="E41" s="267"/>
      <c r="F41" s="268"/>
      <c r="G41" s="268"/>
      <c r="H41" s="268"/>
      <c r="I41" s="268"/>
      <c r="J41" s="269"/>
    </row>
    <row r="42" spans="2:10">
      <c r="B42" s="266"/>
      <c r="C42" s="266"/>
      <c r="D42" s="267"/>
      <c r="E42" s="267"/>
      <c r="F42" s="268"/>
      <c r="G42" s="268"/>
      <c r="H42" s="268"/>
      <c r="I42" s="268"/>
      <c r="J42" s="269"/>
    </row>
    <row r="43" spans="2:10">
      <c r="B43" s="266"/>
      <c r="C43" s="266"/>
      <c r="D43" s="267"/>
      <c r="E43" s="267"/>
      <c r="F43" s="268"/>
      <c r="G43" s="268"/>
      <c r="H43" s="268"/>
      <c r="I43" s="268"/>
      <c r="J43" s="269"/>
    </row>
    <row r="44" spans="2:10">
      <c r="B44" s="266"/>
      <c r="C44" s="266"/>
      <c r="D44" s="267"/>
      <c r="E44" s="267"/>
      <c r="F44" s="268"/>
      <c r="G44" s="268"/>
      <c r="H44" s="268"/>
      <c r="I44" s="268"/>
      <c r="J44" s="269"/>
    </row>
    <row r="45" spans="2:10">
      <c r="B45" s="266"/>
      <c r="C45" s="266"/>
      <c r="D45" s="267"/>
      <c r="E45" s="267"/>
      <c r="F45" s="268"/>
      <c r="G45" s="268"/>
      <c r="H45" s="268"/>
      <c r="I45" s="268"/>
      <c r="J45" s="269"/>
    </row>
    <row r="46" spans="2:10">
      <c r="B46" s="266"/>
      <c r="C46" s="266"/>
      <c r="D46" s="267"/>
      <c r="E46" s="267"/>
      <c r="F46" s="268"/>
      <c r="G46" s="268"/>
      <c r="H46" s="268"/>
      <c r="I46" s="268"/>
      <c r="J46" s="269"/>
    </row>
    <row r="47" spans="2:10">
      <c r="B47" s="686" t="s">
        <v>1011</v>
      </c>
      <c r="C47" s="687"/>
      <c r="D47" s="687"/>
      <c r="E47" s="687"/>
      <c r="F47" s="687"/>
      <c r="G47" s="687"/>
      <c r="H47" s="687"/>
      <c r="I47" s="688"/>
      <c r="J47" s="270">
        <f>ROUND(SUM(J32:J46),2)</f>
        <v>0</v>
      </c>
    </row>
    <row r="48" spans="2:10">
      <c r="B48" s="690"/>
      <c r="C48" s="690"/>
      <c r="D48" s="690"/>
      <c r="E48" s="690"/>
      <c r="F48" s="690"/>
      <c r="G48" s="690"/>
      <c r="H48" s="690"/>
      <c r="I48" s="690"/>
      <c r="J48" s="690"/>
    </row>
    <row r="49" spans="2:10" ht="30">
      <c r="B49" s="263" t="s">
        <v>1013</v>
      </c>
      <c r="C49" s="264" t="s">
        <v>1002</v>
      </c>
      <c r="D49" s="264" t="s">
        <v>1003</v>
      </c>
      <c r="E49" s="265" t="s">
        <v>1004</v>
      </c>
      <c r="F49" s="265" t="s">
        <v>1005</v>
      </c>
      <c r="G49" s="265" t="s">
        <v>1006</v>
      </c>
      <c r="H49" s="265" t="s">
        <v>1007</v>
      </c>
      <c r="I49" s="265" t="s">
        <v>1008</v>
      </c>
      <c r="J49" s="265" t="s">
        <v>1009</v>
      </c>
    </row>
    <row r="50" spans="2:10">
      <c r="B50" s="266"/>
      <c r="C50" s="267"/>
      <c r="D50" s="267"/>
      <c r="E50" s="268"/>
      <c r="F50" s="268"/>
      <c r="G50" s="268"/>
      <c r="H50" s="268"/>
      <c r="I50" s="268"/>
      <c r="J50" s="271"/>
    </row>
    <row r="51" spans="2:10">
      <c r="B51" s="266"/>
      <c r="C51" s="267"/>
      <c r="D51" s="267"/>
      <c r="E51" s="268"/>
      <c r="F51" s="268"/>
      <c r="G51" s="268"/>
      <c r="H51" s="268"/>
      <c r="I51" s="268"/>
      <c r="J51" s="271"/>
    </row>
    <row r="52" spans="2:10">
      <c r="B52" s="266"/>
      <c r="C52" s="267"/>
      <c r="D52" s="267"/>
      <c r="E52" s="268"/>
      <c r="F52" s="268"/>
      <c r="G52" s="268"/>
      <c r="H52" s="268"/>
      <c r="I52" s="268"/>
      <c r="J52" s="271"/>
    </row>
    <row r="53" spans="2:10">
      <c r="B53" s="266"/>
      <c r="C53" s="267"/>
      <c r="D53" s="267"/>
      <c r="E53" s="268"/>
      <c r="F53" s="268"/>
      <c r="G53" s="268"/>
      <c r="H53" s="268"/>
      <c r="I53" s="268"/>
      <c r="J53" s="271"/>
    </row>
    <row r="54" spans="2:10">
      <c r="B54" s="266"/>
      <c r="C54" s="266"/>
      <c r="D54" s="267"/>
      <c r="E54" s="267"/>
      <c r="F54" s="268"/>
      <c r="G54" s="268"/>
      <c r="H54" s="268"/>
      <c r="I54" s="268"/>
      <c r="J54" s="271"/>
    </row>
    <row r="55" spans="2:10">
      <c r="B55" s="686" t="s">
        <v>1011</v>
      </c>
      <c r="C55" s="687"/>
      <c r="D55" s="687"/>
      <c r="E55" s="687"/>
      <c r="F55" s="687"/>
      <c r="G55" s="687"/>
      <c r="H55" s="687"/>
      <c r="I55" s="688"/>
      <c r="J55" s="270">
        <f>ROUND(SUM(J50:J54),2)</f>
        <v>0</v>
      </c>
    </row>
    <row r="56" spans="2:10">
      <c r="B56" s="262"/>
      <c r="C56" s="262"/>
      <c r="D56" s="262"/>
      <c r="E56" s="262"/>
      <c r="F56" s="262"/>
      <c r="G56" s="262"/>
      <c r="H56" s="262"/>
      <c r="I56" s="262"/>
      <c r="J56" s="262"/>
    </row>
    <row r="57" spans="2:10">
      <c r="B57" s="691" t="s">
        <v>1014</v>
      </c>
      <c r="C57" s="691"/>
      <c r="D57" s="691"/>
      <c r="E57" s="691"/>
      <c r="F57" s="691"/>
      <c r="G57" s="691"/>
      <c r="H57" s="262"/>
      <c r="I57" s="262"/>
      <c r="J57" s="262"/>
    </row>
    <row r="58" spans="2:10">
      <c r="B58" s="692" t="s">
        <v>1015</v>
      </c>
      <c r="C58" s="693"/>
      <c r="D58" s="693"/>
      <c r="E58" s="694"/>
      <c r="F58" s="265" t="s">
        <v>1016</v>
      </c>
      <c r="G58" s="265" t="s">
        <v>1017</v>
      </c>
      <c r="H58" s="262"/>
      <c r="I58" s="262"/>
      <c r="J58" s="262"/>
    </row>
    <row r="59" spans="2:10">
      <c r="B59" s="678" t="s">
        <v>1018</v>
      </c>
      <c r="C59" s="679"/>
      <c r="D59" s="679"/>
      <c r="E59" s="680"/>
      <c r="F59" s="681">
        <f>$J$10</f>
        <v>0.91500000000000004</v>
      </c>
      <c r="G59" s="272">
        <f>J29</f>
        <v>11315.39</v>
      </c>
      <c r="H59" s="262"/>
      <c r="I59" s="262"/>
      <c r="J59" s="262"/>
    </row>
    <row r="60" spans="2:10">
      <c r="B60" s="678" t="s">
        <v>1019</v>
      </c>
      <c r="C60" s="679"/>
      <c r="D60" s="679"/>
      <c r="E60" s="680"/>
      <c r="F60" s="695"/>
      <c r="G60" s="272">
        <f>J47</f>
        <v>0</v>
      </c>
      <c r="H60" s="262"/>
      <c r="I60" s="262"/>
      <c r="J60" s="262"/>
    </row>
    <row r="61" spans="2:10">
      <c r="B61" s="678" t="s">
        <v>1020</v>
      </c>
      <c r="C61" s="679"/>
      <c r="D61" s="679"/>
      <c r="E61" s="680"/>
      <c r="F61" s="695"/>
      <c r="G61" s="272">
        <f>J55</f>
        <v>0</v>
      </c>
      <c r="H61" s="262"/>
      <c r="I61" s="262"/>
      <c r="J61" s="262"/>
    </row>
    <row r="62" spans="2:10">
      <c r="B62" s="678" t="s">
        <v>1021</v>
      </c>
      <c r="C62" s="679"/>
      <c r="D62" s="679"/>
      <c r="E62" s="680"/>
      <c r="F62" s="695"/>
      <c r="G62" s="272">
        <f>1/6</f>
        <v>0.16666666666666666</v>
      </c>
      <c r="H62" s="262"/>
      <c r="I62" s="262"/>
      <c r="J62" s="262"/>
    </row>
    <row r="63" spans="2:10">
      <c r="B63" s="678" t="s">
        <v>1022</v>
      </c>
      <c r="C63" s="679"/>
      <c r="D63" s="679"/>
      <c r="E63" s="680"/>
      <c r="F63" s="695"/>
      <c r="G63" s="272">
        <f>G59+G61</f>
        <v>11315.39</v>
      </c>
      <c r="H63" s="262"/>
      <c r="I63" s="262"/>
      <c r="J63" s="262"/>
    </row>
    <row r="64" spans="2:10">
      <c r="B64" s="678" t="s">
        <v>1023</v>
      </c>
      <c r="C64" s="679"/>
      <c r="D64" s="679"/>
      <c r="E64" s="680"/>
      <c r="F64" s="695"/>
      <c r="G64" s="272">
        <f>G63/G62</f>
        <v>67892.34</v>
      </c>
      <c r="H64" s="262"/>
      <c r="I64" s="262"/>
      <c r="J64" s="262"/>
    </row>
    <row r="65" spans="2:10">
      <c r="B65" s="678" t="s">
        <v>1024</v>
      </c>
      <c r="C65" s="679"/>
      <c r="D65" s="679"/>
      <c r="E65" s="680"/>
      <c r="F65" s="682"/>
      <c r="G65" s="272">
        <f>G60+G64</f>
        <v>67892.34</v>
      </c>
      <c r="H65" s="262"/>
      <c r="I65" s="262"/>
      <c r="J65" s="262"/>
    </row>
    <row r="66" spans="2:10">
      <c r="B66" s="678" t="s">
        <v>1025</v>
      </c>
      <c r="C66" s="679"/>
      <c r="D66" s="679"/>
      <c r="E66" s="680"/>
      <c r="F66" s="681">
        <f>$I$11</f>
        <v>0.28220000000000001</v>
      </c>
      <c r="G66" s="272">
        <f>G65*F66</f>
        <v>19159.218347999999</v>
      </c>
      <c r="H66" s="262"/>
      <c r="I66" s="262"/>
      <c r="J66" s="262"/>
    </row>
    <row r="67" spans="2:10">
      <c r="B67" s="683" t="s">
        <v>1251</v>
      </c>
      <c r="C67" s="684"/>
      <c r="D67" s="684"/>
      <c r="E67" s="685"/>
      <c r="F67" s="682"/>
      <c r="G67" s="273">
        <f>ROUND(SUM(G65+G66),2)/100</f>
        <v>870.51559999999995</v>
      </c>
      <c r="H67" s="262"/>
      <c r="I67" s="262"/>
      <c r="J67" s="262"/>
    </row>
    <row r="68" spans="2:10" ht="15.75" thickBot="1"/>
    <row r="69" spans="2:10" ht="15.75" thickBot="1">
      <c r="B69" s="696" t="s">
        <v>990</v>
      </c>
      <c r="C69" s="697"/>
      <c r="D69" s="697"/>
      <c r="E69" s="697"/>
      <c r="F69" s="697"/>
      <c r="G69" s="697"/>
      <c r="H69" s="697"/>
      <c r="I69" s="697"/>
      <c r="J69" s="698"/>
    </row>
    <row r="70" spans="2:10" ht="15" customHeight="1">
      <c r="B70" s="699" t="s">
        <v>7</v>
      </c>
      <c r="C70" s="699"/>
      <c r="D70" s="699"/>
      <c r="E70" s="699"/>
      <c r="F70" s="699"/>
      <c r="G70" s="699"/>
      <c r="H70" s="699"/>
      <c r="I70" s="699"/>
      <c r="J70" s="699"/>
    </row>
    <row r="71" spans="2:10" ht="15.75" thickBot="1">
      <c r="B71" s="699" t="s">
        <v>8</v>
      </c>
      <c r="C71" s="699"/>
      <c r="D71" s="699"/>
      <c r="E71" s="699"/>
      <c r="F71" s="699"/>
      <c r="G71" s="699"/>
      <c r="H71" s="699"/>
      <c r="I71" s="699"/>
      <c r="J71" s="699"/>
    </row>
    <row r="72" spans="2:10">
      <c r="B72" s="700" t="s">
        <v>991</v>
      </c>
      <c r="C72" s="249" t="s">
        <v>992</v>
      </c>
      <c r="D72" s="250">
        <v>6</v>
      </c>
      <c r="E72" s="251" t="s">
        <v>993</v>
      </c>
      <c r="F72" s="252">
        <v>2017</v>
      </c>
      <c r="G72" s="253"/>
      <c r="H72" s="253"/>
      <c r="I72" s="251" t="s">
        <v>994</v>
      </c>
      <c r="J72" s="254" t="s">
        <v>546</v>
      </c>
    </row>
    <row r="73" spans="2:10">
      <c r="B73" s="701"/>
      <c r="C73" s="255" t="s">
        <v>995</v>
      </c>
      <c r="D73" s="704" t="s">
        <v>1027</v>
      </c>
      <c r="E73" s="704"/>
      <c r="F73" s="256"/>
      <c r="G73" s="256"/>
      <c r="H73" s="256"/>
      <c r="I73" s="256"/>
      <c r="J73" s="257"/>
    </row>
    <row r="74" spans="2:10" ht="48.75" customHeight="1">
      <c r="B74" s="701"/>
      <c r="C74" s="255" t="s">
        <v>997</v>
      </c>
      <c r="D74" s="707" t="s">
        <v>1028</v>
      </c>
      <c r="E74" s="707"/>
      <c r="F74" s="707"/>
      <c r="G74" s="707"/>
      <c r="H74" s="707"/>
      <c r="I74" s="707"/>
      <c r="J74" s="708"/>
    </row>
    <row r="75" spans="2:10" ht="15.75" thickBot="1">
      <c r="B75" s="702"/>
      <c r="C75" s="258" t="s">
        <v>999</v>
      </c>
      <c r="D75" s="259" t="s">
        <v>698</v>
      </c>
      <c r="E75" s="260"/>
      <c r="F75" s="260"/>
      <c r="G75" s="260"/>
      <c r="H75" s="260"/>
      <c r="I75" s="260"/>
      <c r="J75" s="261"/>
    </row>
    <row r="76" spans="2:10">
      <c r="B76" s="262"/>
      <c r="C76" s="262"/>
      <c r="D76" s="262"/>
      <c r="E76" s="262"/>
      <c r="F76" s="262"/>
      <c r="G76" s="262"/>
      <c r="H76" s="262"/>
      <c r="I76" s="262"/>
      <c r="J76" s="262"/>
    </row>
    <row r="77" spans="2:10" ht="30">
      <c r="B77" s="263" t="s">
        <v>1001</v>
      </c>
      <c r="C77" s="264" t="s">
        <v>1002</v>
      </c>
      <c r="D77" s="264" t="s">
        <v>1003</v>
      </c>
      <c r="E77" s="265" t="s">
        <v>1004</v>
      </c>
      <c r="F77" s="265" t="s">
        <v>1005</v>
      </c>
      <c r="G77" s="265" t="s">
        <v>1006</v>
      </c>
      <c r="H77" s="265" t="s">
        <v>1007</v>
      </c>
      <c r="I77" s="265" t="s">
        <v>1008</v>
      </c>
      <c r="J77" s="265" t="s">
        <v>1009</v>
      </c>
    </row>
    <row r="78" spans="2:10">
      <c r="B78" s="266" t="s">
        <v>1029</v>
      </c>
      <c r="C78" s="267" t="s">
        <v>897</v>
      </c>
      <c r="D78" s="267">
        <v>88267</v>
      </c>
      <c r="E78" s="268">
        <v>0.48399999999999999</v>
      </c>
      <c r="F78" s="268">
        <v>1</v>
      </c>
      <c r="G78" s="302">
        <f>(17.88/1.915)</f>
        <v>9.3368146214099212</v>
      </c>
      <c r="H78" s="268">
        <v>0</v>
      </c>
      <c r="I78" s="268">
        <f t="shared" ref="I78:I79" si="1">ROUND(G78*(1+$J$10),2)</f>
        <v>17.88</v>
      </c>
      <c r="J78" s="269">
        <f>I78*E78</f>
        <v>8.6539199999999994</v>
      </c>
    </row>
    <row r="79" spans="2:10">
      <c r="B79" s="266" t="s">
        <v>1030</v>
      </c>
      <c r="C79" s="267" t="s">
        <v>897</v>
      </c>
      <c r="D79" s="267">
        <v>88248</v>
      </c>
      <c r="E79" s="268">
        <v>0.48399999999999999</v>
      </c>
      <c r="F79" s="268">
        <v>1</v>
      </c>
      <c r="G79" s="302">
        <f>(14.58/1.915)</f>
        <v>7.6135770234986948</v>
      </c>
      <c r="H79" s="268">
        <v>0</v>
      </c>
      <c r="I79" s="268">
        <f t="shared" si="1"/>
        <v>14.58</v>
      </c>
      <c r="J79" s="269">
        <f>I79*E79</f>
        <v>7.0567199999999994</v>
      </c>
    </row>
    <row r="80" spans="2:10">
      <c r="B80" s="266"/>
      <c r="C80" s="267"/>
      <c r="D80" s="267"/>
      <c r="E80" s="268"/>
      <c r="F80" s="268"/>
      <c r="G80" s="268"/>
      <c r="H80" s="268"/>
      <c r="I80" s="268"/>
      <c r="J80" s="269">
        <f>I80*E80</f>
        <v>0</v>
      </c>
    </row>
    <row r="81" spans="2:10">
      <c r="B81" s="266"/>
      <c r="C81" s="266"/>
      <c r="D81" s="267"/>
      <c r="E81" s="267"/>
      <c r="F81" s="268"/>
      <c r="G81" s="268"/>
      <c r="H81" s="268"/>
      <c r="I81" s="268"/>
      <c r="J81" s="269"/>
    </row>
    <row r="82" spans="2:10">
      <c r="B82" s="686" t="s">
        <v>1011</v>
      </c>
      <c r="C82" s="687"/>
      <c r="D82" s="687"/>
      <c r="E82" s="687"/>
      <c r="F82" s="687"/>
      <c r="G82" s="687"/>
      <c r="H82" s="687"/>
      <c r="I82" s="688"/>
      <c r="J82" s="270">
        <f>ROUND(SUM(J78:J81),2)</f>
        <v>15.71</v>
      </c>
    </row>
    <row r="83" spans="2:10">
      <c r="B83" s="689"/>
      <c r="C83" s="689"/>
      <c r="D83" s="689"/>
      <c r="E83" s="689"/>
      <c r="F83" s="689"/>
      <c r="G83" s="689"/>
      <c r="H83" s="689"/>
      <c r="I83" s="689"/>
      <c r="J83" s="689"/>
    </row>
    <row r="84" spans="2:10" ht="30">
      <c r="B84" s="263" t="s">
        <v>1012</v>
      </c>
      <c r="C84" s="264" t="s">
        <v>1002</v>
      </c>
      <c r="D84" s="264" t="s">
        <v>1003</v>
      </c>
      <c r="E84" s="265" t="s">
        <v>1004</v>
      </c>
      <c r="F84" s="265" t="s">
        <v>1005</v>
      </c>
      <c r="G84" s="265" t="s">
        <v>1006</v>
      </c>
      <c r="H84" s="265" t="s">
        <v>1007</v>
      </c>
      <c r="I84" s="265" t="s">
        <v>1008</v>
      </c>
      <c r="J84" s="265" t="s">
        <v>1009</v>
      </c>
    </row>
    <row r="85" spans="2:10" ht="15" customHeight="1">
      <c r="B85" s="266" t="s">
        <v>1031</v>
      </c>
      <c r="C85" s="274" t="s">
        <v>23</v>
      </c>
      <c r="D85" s="274">
        <v>114</v>
      </c>
      <c r="E85" s="275">
        <v>0.04</v>
      </c>
      <c r="F85" s="268"/>
      <c r="G85" s="276">
        <v>10.210000000000001</v>
      </c>
      <c r="H85" s="268">
        <v>0</v>
      </c>
      <c r="I85" s="268">
        <f>G85</f>
        <v>10.210000000000001</v>
      </c>
      <c r="J85" s="269">
        <f>I85*E85</f>
        <v>0.40840000000000004</v>
      </c>
    </row>
    <row r="86" spans="2:10">
      <c r="B86" s="266" t="s">
        <v>1032</v>
      </c>
      <c r="C86" s="274" t="s">
        <v>23</v>
      </c>
      <c r="D86" s="274">
        <v>68</v>
      </c>
      <c r="E86" s="275">
        <v>0.12</v>
      </c>
      <c r="F86" s="268"/>
      <c r="G86" s="276">
        <v>13.69</v>
      </c>
      <c r="H86" s="268">
        <v>0</v>
      </c>
      <c r="I86" s="268">
        <f>G86</f>
        <v>13.69</v>
      </c>
      <c r="J86" s="269">
        <f t="shared" ref="J86:J100" si="2">I86*E86</f>
        <v>1.6427999999999998</v>
      </c>
    </row>
    <row r="87" spans="2:10" ht="17.25" customHeight="1">
      <c r="B87" s="266" t="s">
        <v>1033</v>
      </c>
      <c r="C87" s="274" t="s">
        <v>23</v>
      </c>
      <c r="D87" s="274">
        <v>65</v>
      </c>
      <c r="E87" s="275">
        <v>0.16</v>
      </c>
      <c r="F87" s="268"/>
      <c r="G87" s="276">
        <v>0.76</v>
      </c>
      <c r="H87" s="268">
        <v>0</v>
      </c>
      <c r="I87" s="268">
        <f t="shared" ref="I87:I100" si="3">G87</f>
        <v>0.76</v>
      </c>
      <c r="J87" s="269">
        <f t="shared" si="2"/>
        <v>0.1216</v>
      </c>
    </row>
    <row r="88" spans="2:10">
      <c r="B88" s="266" t="s">
        <v>1034</v>
      </c>
      <c r="C88" s="274" t="s">
        <v>649</v>
      </c>
      <c r="D88" s="274">
        <v>9868</v>
      </c>
      <c r="E88" s="275">
        <v>1.01</v>
      </c>
      <c r="F88" s="268"/>
      <c r="G88" s="276">
        <v>3.15</v>
      </c>
      <c r="H88" s="268">
        <v>0</v>
      </c>
      <c r="I88" s="268">
        <f t="shared" si="3"/>
        <v>3.15</v>
      </c>
      <c r="J88" s="269">
        <f t="shared" si="2"/>
        <v>3.1814999999999998</v>
      </c>
    </row>
    <row r="89" spans="2:10">
      <c r="B89" s="266" t="s">
        <v>1035</v>
      </c>
      <c r="C89" s="274" t="s">
        <v>649</v>
      </c>
      <c r="D89" s="274">
        <v>9869</v>
      </c>
      <c r="E89" s="275">
        <v>0.2424</v>
      </c>
      <c r="F89" s="268"/>
      <c r="G89" s="276">
        <v>6.75</v>
      </c>
      <c r="H89" s="268">
        <v>0</v>
      </c>
      <c r="I89" s="268">
        <f t="shared" si="3"/>
        <v>6.75</v>
      </c>
      <c r="J89" s="269">
        <f t="shared" si="2"/>
        <v>1.6362000000000001</v>
      </c>
    </row>
    <row r="90" spans="2:10">
      <c r="B90" s="266" t="s">
        <v>1036</v>
      </c>
      <c r="C90" s="274" t="s">
        <v>23</v>
      </c>
      <c r="D90" s="274">
        <v>3529</v>
      </c>
      <c r="E90" s="275">
        <v>0.12</v>
      </c>
      <c r="F90" s="268"/>
      <c r="G90" s="276">
        <v>0.55000000000000004</v>
      </c>
      <c r="H90" s="268">
        <v>0</v>
      </c>
      <c r="I90" s="268">
        <f t="shared" si="3"/>
        <v>0.55000000000000004</v>
      </c>
      <c r="J90" s="269">
        <f t="shared" si="2"/>
        <v>6.6000000000000003E-2</v>
      </c>
    </row>
    <row r="91" spans="2:10">
      <c r="B91" s="266" t="s">
        <v>1037</v>
      </c>
      <c r="C91" s="274" t="s">
        <v>23</v>
      </c>
      <c r="D91" s="274">
        <v>3536</v>
      </c>
      <c r="E91" s="275">
        <v>0.04</v>
      </c>
      <c r="F91" s="268"/>
      <c r="G91" s="276">
        <v>1.42</v>
      </c>
      <c r="H91" s="268">
        <v>0</v>
      </c>
      <c r="I91" s="268">
        <f t="shared" si="3"/>
        <v>1.42</v>
      </c>
      <c r="J91" s="269">
        <f t="shared" si="2"/>
        <v>5.6799999999999996E-2</v>
      </c>
    </row>
    <row r="92" spans="2:10">
      <c r="B92" s="266" t="s">
        <v>1038</v>
      </c>
      <c r="C92" s="274" t="s">
        <v>23</v>
      </c>
      <c r="D92" s="274">
        <v>7140</v>
      </c>
      <c r="E92" s="275">
        <v>0.04</v>
      </c>
      <c r="F92" s="268"/>
      <c r="G92" s="276">
        <v>2.2799999999999998</v>
      </c>
      <c r="H92" s="268">
        <v>0</v>
      </c>
      <c r="I92" s="268">
        <f t="shared" si="3"/>
        <v>2.2799999999999998</v>
      </c>
      <c r="J92" s="269">
        <f t="shared" si="2"/>
        <v>9.1199999999999989E-2</v>
      </c>
    </row>
    <row r="93" spans="2:10">
      <c r="B93" s="266" t="s">
        <v>1039</v>
      </c>
      <c r="C93" s="274" t="s">
        <v>23</v>
      </c>
      <c r="D93" s="274">
        <v>3904</v>
      </c>
      <c r="E93" s="275">
        <v>0.04</v>
      </c>
      <c r="F93" s="268"/>
      <c r="G93" s="276">
        <v>0.62</v>
      </c>
      <c r="H93" s="268">
        <v>0</v>
      </c>
      <c r="I93" s="268">
        <f t="shared" si="3"/>
        <v>0.62</v>
      </c>
      <c r="J93" s="269">
        <f t="shared" si="2"/>
        <v>2.4799999999999999E-2</v>
      </c>
    </row>
    <row r="94" spans="2:10">
      <c r="B94" s="266" t="s">
        <v>1040</v>
      </c>
      <c r="C94" s="274" t="s">
        <v>23</v>
      </c>
      <c r="D94" s="274">
        <v>6019</v>
      </c>
      <c r="E94" s="275">
        <v>0.08</v>
      </c>
      <c r="F94" s="268"/>
      <c r="G94" s="276">
        <v>36.25</v>
      </c>
      <c r="H94" s="268">
        <v>0</v>
      </c>
      <c r="I94" s="268">
        <f t="shared" si="3"/>
        <v>36.25</v>
      </c>
      <c r="J94" s="269">
        <f t="shared" si="2"/>
        <v>2.9</v>
      </c>
    </row>
    <row r="95" spans="2:10">
      <c r="B95" s="266" t="s">
        <v>1041</v>
      </c>
      <c r="C95" s="274" t="s">
        <v>23</v>
      </c>
      <c r="D95" s="274">
        <v>11762</v>
      </c>
      <c r="E95" s="275">
        <v>0.04</v>
      </c>
      <c r="F95" s="268"/>
      <c r="G95" s="276">
        <v>35.64</v>
      </c>
      <c r="H95" s="268">
        <v>0</v>
      </c>
      <c r="I95" s="268">
        <f t="shared" si="3"/>
        <v>35.64</v>
      </c>
      <c r="J95" s="269">
        <f t="shared" si="2"/>
        <v>1.4256</v>
      </c>
    </row>
    <row r="96" spans="2:10">
      <c r="B96" s="266" t="s">
        <v>1042</v>
      </c>
      <c r="C96" s="274" t="s">
        <v>649</v>
      </c>
      <c r="D96" s="274">
        <v>3148</v>
      </c>
      <c r="E96" s="275">
        <v>0.3468</v>
      </c>
      <c r="F96" s="268"/>
      <c r="G96" s="276">
        <v>10.88</v>
      </c>
      <c r="H96" s="268">
        <v>0</v>
      </c>
      <c r="I96" s="268">
        <f t="shared" si="3"/>
        <v>10.88</v>
      </c>
      <c r="J96" s="269">
        <f t="shared" si="2"/>
        <v>3.7731840000000001</v>
      </c>
    </row>
    <row r="97" spans="2:10">
      <c r="B97" s="266" t="s">
        <v>1043</v>
      </c>
      <c r="C97" s="274" t="s">
        <v>23</v>
      </c>
      <c r="D97" s="274">
        <v>20080</v>
      </c>
      <c r="E97" s="275">
        <v>0.02</v>
      </c>
      <c r="F97" s="268"/>
      <c r="G97" s="276">
        <v>18.63</v>
      </c>
      <c r="H97" s="268">
        <v>0</v>
      </c>
      <c r="I97" s="268">
        <f t="shared" si="3"/>
        <v>18.63</v>
      </c>
      <c r="J97" s="269">
        <f t="shared" si="2"/>
        <v>0.37259999999999999</v>
      </c>
    </row>
    <row r="98" spans="2:10">
      <c r="B98" s="266" t="s">
        <v>1044</v>
      </c>
      <c r="C98" s="274" t="s">
        <v>926</v>
      </c>
      <c r="D98" s="274">
        <v>20083</v>
      </c>
      <c r="E98" s="275">
        <v>2.2399999999999998E-3</v>
      </c>
      <c r="F98" s="268"/>
      <c r="G98" s="276">
        <v>50.99</v>
      </c>
      <c r="H98" s="268">
        <v>0</v>
      </c>
      <c r="I98" s="268">
        <f t="shared" si="3"/>
        <v>50.99</v>
      </c>
      <c r="J98" s="269">
        <f t="shared" si="2"/>
        <v>0.11421759999999999</v>
      </c>
    </row>
    <row r="99" spans="2:10">
      <c r="B99" s="266" t="s">
        <v>1045</v>
      </c>
      <c r="C99" s="274" t="s">
        <v>23</v>
      </c>
      <c r="D99" s="274">
        <v>40329</v>
      </c>
      <c r="E99" s="275">
        <v>0.04</v>
      </c>
      <c r="F99" s="268"/>
      <c r="G99" s="276">
        <v>9.9</v>
      </c>
      <c r="H99" s="268">
        <v>0</v>
      </c>
      <c r="I99" s="268">
        <f t="shared" si="3"/>
        <v>9.9</v>
      </c>
      <c r="J99" s="269">
        <f t="shared" si="2"/>
        <v>0.39600000000000002</v>
      </c>
    </row>
    <row r="100" spans="2:10">
      <c r="B100" s="266" t="s">
        <v>1046</v>
      </c>
      <c r="C100" s="274" t="s">
        <v>23</v>
      </c>
      <c r="D100" s="274">
        <v>63</v>
      </c>
      <c r="E100" s="275">
        <v>0.04</v>
      </c>
      <c r="F100" s="268"/>
      <c r="G100" s="276">
        <v>31.96</v>
      </c>
      <c r="H100" s="268">
        <v>0</v>
      </c>
      <c r="I100" s="268">
        <f t="shared" si="3"/>
        <v>31.96</v>
      </c>
      <c r="J100" s="269">
        <f t="shared" si="2"/>
        <v>1.2784</v>
      </c>
    </row>
    <row r="101" spans="2:10">
      <c r="B101" s="266"/>
      <c r="C101" s="274"/>
      <c r="D101" s="274"/>
      <c r="E101" s="275"/>
      <c r="F101" s="268"/>
      <c r="G101" s="276"/>
      <c r="H101" s="268"/>
      <c r="I101" s="268"/>
      <c r="J101" s="269"/>
    </row>
    <row r="102" spans="2:10">
      <c r="B102" s="266"/>
      <c r="C102" s="266"/>
      <c r="D102" s="267"/>
      <c r="E102" s="267"/>
      <c r="F102" s="268"/>
      <c r="G102" s="268"/>
      <c r="H102" s="268"/>
      <c r="I102" s="268"/>
      <c r="J102" s="269"/>
    </row>
    <row r="103" spans="2:10">
      <c r="B103" s="686" t="s">
        <v>1011</v>
      </c>
      <c r="C103" s="687"/>
      <c r="D103" s="687"/>
      <c r="E103" s="687"/>
      <c r="F103" s="687"/>
      <c r="G103" s="687"/>
      <c r="H103" s="687"/>
      <c r="I103" s="688"/>
      <c r="J103" s="270">
        <f>ROUND(SUM(J85:J102),2)</f>
        <v>17.489999999999998</v>
      </c>
    </row>
    <row r="104" spans="2:10">
      <c r="B104" s="690"/>
      <c r="C104" s="690"/>
      <c r="D104" s="690"/>
      <c r="E104" s="690"/>
      <c r="F104" s="690"/>
      <c r="G104" s="690"/>
      <c r="H104" s="690"/>
      <c r="I104" s="690"/>
      <c r="J104" s="690"/>
    </row>
    <row r="105" spans="2:10" ht="30">
      <c r="B105" s="263" t="s">
        <v>1013</v>
      </c>
      <c r="C105" s="264" t="s">
        <v>1002</v>
      </c>
      <c r="D105" s="264" t="s">
        <v>1003</v>
      </c>
      <c r="E105" s="265" t="s">
        <v>1004</v>
      </c>
      <c r="F105" s="265" t="s">
        <v>1005</v>
      </c>
      <c r="G105" s="265" t="s">
        <v>1006</v>
      </c>
      <c r="H105" s="265" t="s">
        <v>1007</v>
      </c>
      <c r="I105" s="265" t="s">
        <v>1008</v>
      </c>
      <c r="J105" s="265" t="s">
        <v>1009</v>
      </c>
    </row>
    <row r="106" spans="2:10">
      <c r="B106" s="266"/>
      <c r="C106" s="267"/>
      <c r="D106" s="267"/>
      <c r="E106" s="268"/>
      <c r="F106" s="268"/>
      <c r="G106" s="268"/>
      <c r="H106" s="268"/>
      <c r="I106" s="268"/>
      <c r="J106" s="271"/>
    </row>
    <row r="107" spans="2:10">
      <c r="B107" s="266"/>
      <c r="C107" s="267"/>
      <c r="D107" s="267"/>
      <c r="E107" s="268"/>
      <c r="F107" s="268"/>
      <c r="G107" s="268"/>
      <c r="H107" s="268"/>
      <c r="I107" s="268"/>
      <c r="J107" s="271"/>
    </row>
    <row r="108" spans="2:10">
      <c r="B108" s="266"/>
      <c r="C108" s="267"/>
      <c r="D108" s="267"/>
      <c r="E108" s="268"/>
      <c r="F108" s="268"/>
      <c r="G108" s="268"/>
      <c r="H108" s="268"/>
      <c r="I108" s="268"/>
      <c r="J108" s="271"/>
    </row>
    <row r="109" spans="2:10">
      <c r="B109" s="266"/>
      <c r="C109" s="266"/>
      <c r="D109" s="267"/>
      <c r="E109" s="267"/>
      <c r="F109" s="268"/>
      <c r="G109" s="268"/>
      <c r="H109" s="268"/>
      <c r="I109" s="268"/>
      <c r="J109" s="271"/>
    </row>
    <row r="110" spans="2:10">
      <c r="B110" s="686" t="s">
        <v>1011</v>
      </c>
      <c r="C110" s="687"/>
      <c r="D110" s="687"/>
      <c r="E110" s="687"/>
      <c r="F110" s="687"/>
      <c r="G110" s="687"/>
      <c r="H110" s="687"/>
      <c r="I110" s="688"/>
      <c r="J110" s="270">
        <f>ROUND(SUM(J106:J109),2)</f>
        <v>0</v>
      </c>
    </row>
    <row r="111" spans="2:10">
      <c r="B111" s="262"/>
      <c r="C111" s="262"/>
      <c r="D111" s="262"/>
      <c r="E111" s="262"/>
      <c r="F111" s="262"/>
      <c r="G111" s="262"/>
      <c r="H111" s="262"/>
      <c r="I111" s="262"/>
      <c r="J111" s="262"/>
    </row>
    <row r="112" spans="2:10">
      <c r="B112" s="691" t="s">
        <v>1014</v>
      </c>
      <c r="C112" s="691"/>
      <c r="D112" s="691"/>
      <c r="E112" s="691"/>
      <c r="F112" s="691"/>
      <c r="G112" s="691"/>
      <c r="H112" s="262"/>
      <c r="I112" s="262"/>
      <c r="J112" s="262"/>
    </row>
    <row r="113" spans="2:10">
      <c r="B113" s="692" t="s">
        <v>1015</v>
      </c>
      <c r="C113" s="693"/>
      <c r="D113" s="693"/>
      <c r="E113" s="694"/>
      <c r="F113" s="265" t="s">
        <v>1016</v>
      </c>
      <c r="G113" s="265" t="s">
        <v>1017</v>
      </c>
      <c r="H113" s="262"/>
      <c r="I113" s="262"/>
      <c r="J113" s="262"/>
    </row>
    <row r="114" spans="2:10">
      <c r="B114" s="678" t="s">
        <v>1018</v>
      </c>
      <c r="C114" s="679"/>
      <c r="D114" s="679"/>
      <c r="E114" s="680"/>
      <c r="F114" s="681">
        <f>$J$10</f>
        <v>0.91500000000000004</v>
      </c>
      <c r="G114" s="272">
        <f>J82</f>
        <v>15.71</v>
      </c>
      <c r="H114" s="262"/>
      <c r="I114" s="262"/>
      <c r="J114" s="262"/>
    </row>
    <row r="115" spans="2:10">
      <c r="B115" s="678" t="s">
        <v>1019</v>
      </c>
      <c r="C115" s="679"/>
      <c r="D115" s="679"/>
      <c r="E115" s="680"/>
      <c r="F115" s="695"/>
      <c r="G115" s="272">
        <f>J103</f>
        <v>17.489999999999998</v>
      </c>
      <c r="H115" s="262"/>
      <c r="I115" s="262"/>
      <c r="J115" s="262"/>
    </row>
    <row r="116" spans="2:10">
      <c r="B116" s="678" t="s">
        <v>1020</v>
      </c>
      <c r="C116" s="679"/>
      <c r="D116" s="679"/>
      <c r="E116" s="680"/>
      <c r="F116" s="695"/>
      <c r="G116" s="272">
        <f>J110</f>
        <v>0</v>
      </c>
      <c r="H116" s="262"/>
      <c r="I116" s="262"/>
      <c r="J116" s="262"/>
    </row>
    <row r="117" spans="2:10">
      <c r="B117" s="678" t="s">
        <v>1021</v>
      </c>
      <c r="C117" s="679"/>
      <c r="D117" s="679"/>
      <c r="E117" s="680"/>
      <c r="F117" s="695"/>
      <c r="G117" s="272">
        <v>1</v>
      </c>
      <c r="H117" s="262"/>
      <c r="I117" s="262"/>
      <c r="J117" s="262"/>
    </row>
    <row r="118" spans="2:10">
      <c r="B118" s="678" t="s">
        <v>1022</v>
      </c>
      <c r="C118" s="679"/>
      <c r="D118" s="679"/>
      <c r="E118" s="680"/>
      <c r="F118" s="695"/>
      <c r="G118" s="272">
        <f>G114+G116</f>
        <v>15.71</v>
      </c>
      <c r="H118" s="262"/>
      <c r="I118" s="262"/>
      <c r="J118" s="262"/>
    </row>
    <row r="119" spans="2:10">
      <c r="B119" s="678" t="s">
        <v>1023</v>
      </c>
      <c r="C119" s="679"/>
      <c r="D119" s="679"/>
      <c r="E119" s="680"/>
      <c r="F119" s="695"/>
      <c r="G119" s="272">
        <f>G118/G117</f>
        <v>15.71</v>
      </c>
      <c r="H119" s="262"/>
      <c r="I119" s="262"/>
      <c r="J119" s="262"/>
    </row>
    <row r="120" spans="2:10">
      <c r="B120" s="678" t="s">
        <v>1024</v>
      </c>
      <c r="C120" s="679"/>
      <c r="D120" s="679"/>
      <c r="E120" s="680"/>
      <c r="F120" s="682"/>
      <c r="G120" s="272">
        <f>G115+G119</f>
        <v>33.200000000000003</v>
      </c>
      <c r="H120" s="262"/>
      <c r="I120" s="262"/>
      <c r="J120" s="262"/>
    </row>
    <row r="121" spans="2:10">
      <c r="B121" s="678" t="s">
        <v>1025</v>
      </c>
      <c r="C121" s="679"/>
      <c r="D121" s="679"/>
      <c r="E121" s="680"/>
      <c r="F121" s="681">
        <f>$I$11</f>
        <v>0.28220000000000001</v>
      </c>
      <c r="G121" s="272">
        <f>G120*F121</f>
        <v>9.3690400000000018</v>
      </c>
      <c r="H121" s="262"/>
      <c r="I121" s="262"/>
      <c r="J121" s="262"/>
    </row>
    <row r="122" spans="2:10">
      <c r="B122" s="683" t="s">
        <v>1026</v>
      </c>
      <c r="C122" s="684"/>
      <c r="D122" s="684"/>
      <c r="E122" s="685"/>
      <c r="F122" s="682"/>
      <c r="G122" s="273">
        <f>ROUND(SUM(G120+G121),2)</f>
        <v>42.57</v>
      </c>
      <c r="H122" s="262"/>
      <c r="I122" s="262"/>
      <c r="J122" s="262"/>
    </row>
    <row r="123" spans="2:10" ht="15.75" thickBot="1"/>
    <row r="124" spans="2:10" ht="15.75" thickBot="1">
      <c r="B124" s="696" t="s">
        <v>990</v>
      </c>
      <c r="C124" s="697"/>
      <c r="D124" s="697"/>
      <c r="E124" s="697"/>
      <c r="F124" s="697"/>
      <c r="G124" s="697"/>
      <c r="H124" s="697"/>
      <c r="I124" s="697"/>
      <c r="J124" s="698"/>
    </row>
    <row r="125" spans="2:10">
      <c r="B125" s="699" t="s">
        <v>7</v>
      </c>
      <c r="C125" s="699"/>
      <c r="D125" s="699"/>
      <c r="E125" s="699"/>
      <c r="F125" s="699"/>
      <c r="G125" s="699"/>
      <c r="H125" s="699"/>
      <c r="I125" s="699"/>
      <c r="J125" s="699"/>
    </row>
    <row r="126" spans="2:10" ht="15.75" thickBot="1">
      <c r="B126" s="699" t="s">
        <v>8</v>
      </c>
      <c r="C126" s="699"/>
      <c r="D126" s="699"/>
      <c r="E126" s="699"/>
      <c r="F126" s="699"/>
      <c r="G126" s="699"/>
      <c r="H126" s="699"/>
      <c r="I126" s="699"/>
      <c r="J126" s="699"/>
    </row>
    <row r="127" spans="2:10">
      <c r="B127" s="700" t="s">
        <v>991</v>
      </c>
      <c r="C127" s="249" t="s">
        <v>992</v>
      </c>
      <c r="D127" s="250">
        <v>6</v>
      </c>
      <c r="E127" s="251" t="s">
        <v>993</v>
      </c>
      <c r="F127" s="252">
        <v>2017</v>
      </c>
      <c r="G127" s="253"/>
      <c r="H127" s="253"/>
      <c r="I127" s="251" t="s">
        <v>994</v>
      </c>
      <c r="J127" s="254" t="s">
        <v>1047</v>
      </c>
    </row>
    <row r="128" spans="2:10">
      <c r="B128" s="701"/>
      <c r="C128" s="255" t="s">
        <v>995</v>
      </c>
      <c r="D128" s="704" t="s">
        <v>1048</v>
      </c>
      <c r="E128" s="704"/>
      <c r="F128" s="256"/>
      <c r="G128" s="256"/>
      <c r="H128" s="256"/>
      <c r="I128" s="256"/>
      <c r="J128" s="257"/>
    </row>
    <row r="129" spans="2:10" ht="47.25" customHeight="1">
      <c r="B129" s="701"/>
      <c r="C129" s="255" t="s">
        <v>997</v>
      </c>
      <c r="D129" s="707" t="s">
        <v>1049</v>
      </c>
      <c r="E129" s="707"/>
      <c r="F129" s="707"/>
      <c r="G129" s="707"/>
      <c r="H129" s="707"/>
      <c r="I129" s="707"/>
      <c r="J129" s="708"/>
    </row>
    <row r="130" spans="2:10" ht="15.75" thickBot="1">
      <c r="B130" s="702"/>
      <c r="C130" s="258" t="s">
        <v>999</v>
      </c>
      <c r="D130" s="259" t="s">
        <v>543</v>
      </c>
      <c r="E130" s="260"/>
      <c r="F130" s="260"/>
      <c r="G130" s="260"/>
      <c r="H130" s="260"/>
      <c r="I130" s="260"/>
      <c r="J130" s="261"/>
    </row>
    <row r="131" spans="2:10">
      <c r="B131" s="262"/>
      <c r="C131" s="262"/>
      <c r="D131" s="262"/>
      <c r="E131" s="262"/>
      <c r="F131" s="262"/>
      <c r="G131" s="262"/>
      <c r="H131" s="262"/>
      <c r="I131" s="262"/>
      <c r="J131" s="262"/>
    </row>
    <row r="132" spans="2:10" ht="30">
      <c r="B132" s="263" t="s">
        <v>1001</v>
      </c>
      <c r="C132" s="264" t="s">
        <v>1002</v>
      </c>
      <c r="D132" s="264" t="s">
        <v>1003</v>
      </c>
      <c r="E132" s="265" t="s">
        <v>1004</v>
      </c>
      <c r="F132" s="265" t="s">
        <v>1005</v>
      </c>
      <c r="G132" s="265" t="s">
        <v>1006</v>
      </c>
      <c r="H132" s="265" t="s">
        <v>1007</v>
      </c>
      <c r="I132" s="265" t="s">
        <v>1008</v>
      </c>
      <c r="J132" s="265" t="s">
        <v>1009</v>
      </c>
    </row>
    <row r="133" spans="2:10">
      <c r="B133" s="295" t="s">
        <v>1101</v>
      </c>
      <c r="C133" s="267" t="s">
        <v>897</v>
      </c>
      <c r="D133" s="267">
        <v>88309</v>
      </c>
      <c r="E133" s="268">
        <v>3.8</v>
      </c>
      <c r="F133" s="268">
        <v>1</v>
      </c>
      <c r="G133" s="302">
        <f>(18.62/1.915)</f>
        <v>9.7232375979112273</v>
      </c>
      <c r="H133" s="268">
        <v>0</v>
      </c>
      <c r="I133" s="268">
        <f t="shared" ref="I133:I134" si="4">ROUND(G133*(1+$J$10),2)</f>
        <v>18.62</v>
      </c>
      <c r="J133" s="269">
        <f>I133*E133</f>
        <v>70.756</v>
      </c>
    </row>
    <row r="134" spans="2:10">
      <c r="B134" s="295" t="s">
        <v>1102</v>
      </c>
      <c r="C134" s="267" t="s">
        <v>897</v>
      </c>
      <c r="D134" s="267">
        <v>88316</v>
      </c>
      <c r="E134" s="268">
        <v>4</v>
      </c>
      <c r="F134" s="268">
        <v>1</v>
      </c>
      <c r="G134" s="268">
        <v>7.16</v>
      </c>
      <c r="H134" s="268">
        <v>0</v>
      </c>
      <c r="I134" s="268">
        <f t="shared" si="4"/>
        <v>13.71</v>
      </c>
      <c r="J134" s="269">
        <f>I134*E134</f>
        <v>54.84</v>
      </c>
    </row>
    <row r="135" spans="2:10">
      <c r="B135" s="266"/>
      <c r="C135" s="267"/>
      <c r="D135" s="267"/>
      <c r="E135" s="268"/>
      <c r="F135" s="268"/>
      <c r="G135" s="268"/>
      <c r="H135" s="268">
        <v>0</v>
      </c>
      <c r="I135" s="268">
        <f>G135</f>
        <v>0</v>
      </c>
      <c r="J135" s="269">
        <f>I135*E135</f>
        <v>0</v>
      </c>
    </row>
    <row r="136" spans="2:10">
      <c r="B136" s="266"/>
      <c r="C136" s="267"/>
      <c r="D136" s="267"/>
      <c r="E136" s="268"/>
      <c r="F136" s="268"/>
      <c r="G136" s="268"/>
      <c r="H136" s="268"/>
      <c r="I136" s="268"/>
      <c r="J136" s="269"/>
    </row>
    <row r="137" spans="2:10">
      <c r="B137" s="266"/>
      <c r="C137" s="267"/>
      <c r="D137" s="267"/>
      <c r="E137" s="268"/>
      <c r="F137" s="268"/>
      <c r="G137" s="268"/>
      <c r="H137" s="268"/>
      <c r="I137" s="268"/>
      <c r="J137" s="269"/>
    </row>
    <row r="138" spans="2:10">
      <c r="B138" s="266"/>
      <c r="C138" s="266"/>
      <c r="D138" s="267"/>
      <c r="E138" s="267"/>
      <c r="F138" s="268"/>
      <c r="G138" s="268"/>
      <c r="H138" s="268"/>
      <c r="I138" s="268"/>
      <c r="J138" s="269"/>
    </row>
    <row r="139" spans="2:10">
      <c r="B139" s="686" t="s">
        <v>1011</v>
      </c>
      <c r="C139" s="687"/>
      <c r="D139" s="687"/>
      <c r="E139" s="687"/>
      <c r="F139" s="687"/>
      <c r="G139" s="687"/>
      <c r="H139" s="687"/>
      <c r="I139" s="688"/>
      <c r="J139" s="270">
        <f>ROUND(SUM(J133:J138),2)</f>
        <v>125.6</v>
      </c>
    </row>
    <row r="140" spans="2:10">
      <c r="B140" s="689"/>
      <c r="C140" s="689"/>
      <c r="D140" s="689"/>
      <c r="E140" s="689"/>
      <c r="F140" s="689"/>
      <c r="G140" s="689"/>
      <c r="H140" s="689"/>
      <c r="I140" s="689"/>
      <c r="J140" s="689"/>
    </row>
    <row r="141" spans="2:10" ht="30">
      <c r="B141" s="263" t="s">
        <v>1012</v>
      </c>
      <c r="C141" s="264" t="s">
        <v>1002</v>
      </c>
      <c r="D141" s="264" t="s">
        <v>1003</v>
      </c>
      <c r="E141" s="265" t="s">
        <v>1004</v>
      </c>
      <c r="F141" s="265" t="s">
        <v>1005</v>
      </c>
      <c r="G141" s="265" t="s">
        <v>1006</v>
      </c>
      <c r="H141" s="265" t="s">
        <v>1007</v>
      </c>
      <c r="I141" s="265" t="s">
        <v>1008</v>
      </c>
      <c r="J141" s="265" t="s">
        <v>1009</v>
      </c>
    </row>
    <row r="142" spans="2:10">
      <c r="B142" s="266"/>
      <c r="C142" s="267"/>
      <c r="D142" s="267"/>
      <c r="E142" s="268"/>
      <c r="F142" s="268"/>
      <c r="G142" s="268"/>
      <c r="H142" s="268"/>
      <c r="I142" s="268"/>
      <c r="J142" s="269"/>
    </row>
    <row r="143" spans="2:10" ht="45">
      <c r="B143" s="266" t="s">
        <v>1049</v>
      </c>
      <c r="C143" s="267" t="s">
        <v>543</v>
      </c>
      <c r="D143" s="267"/>
      <c r="E143" s="268">
        <v>1</v>
      </c>
      <c r="F143" s="268">
        <v>1</v>
      </c>
      <c r="G143" s="268">
        <v>104.07</v>
      </c>
      <c r="H143" s="268"/>
      <c r="I143" s="268">
        <f>G143</f>
        <v>104.07</v>
      </c>
      <c r="J143" s="269">
        <f>I143*E143</f>
        <v>104.07</v>
      </c>
    </row>
    <row r="144" spans="2:10">
      <c r="B144" s="295" t="s">
        <v>1075</v>
      </c>
      <c r="C144" s="296" t="s">
        <v>801</v>
      </c>
      <c r="D144" s="267"/>
      <c r="E144" s="268">
        <v>1</v>
      </c>
      <c r="F144" s="268">
        <v>1</v>
      </c>
      <c r="G144" s="268">
        <v>22.5</v>
      </c>
      <c r="H144" s="268"/>
      <c r="I144" s="268">
        <f>G144</f>
        <v>22.5</v>
      </c>
      <c r="J144" s="269">
        <f>I144*E144</f>
        <v>22.5</v>
      </c>
    </row>
    <row r="145" spans="2:10">
      <c r="B145" s="266"/>
      <c r="C145" s="267"/>
      <c r="D145" s="267"/>
      <c r="E145" s="268"/>
      <c r="F145" s="268"/>
      <c r="G145" s="268"/>
      <c r="H145" s="268"/>
      <c r="I145" s="268"/>
      <c r="J145" s="269"/>
    </row>
    <row r="146" spans="2:10">
      <c r="B146" s="266"/>
      <c r="C146" s="266"/>
      <c r="D146" s="267"/>
      <c r="E146" s="267"/>
      <c r="F146" s="268"/>
      <c r="G146" s="268"/>
      <c r="H146" s="268"/>
      <c r="I146" s="268"/>
      <c r="J146" s="269"/>
    </row>
    <row r="147" spans="2:10">
      <c r="B147" s="266"/>
      <c r="C147" s="266"/>
      <c r="D147" s="267"/>
      <c r="E147" s="267"/>
      <c r="F147" s="268"/>
      <c r="G147" s="268"/>
      <c r="H147" s="268"/>
      <c r="I147" s="268"/>
      <c r="J147" s="269"/>
    </row>
    <row r="148" spans="2:10">
      <c r="B148" s="266"/>
      <c r="C148" s="266"/>
      <c r="D148" s="267"/>
      <c r="E148" s="267"/>
      <c r="F148" s="268"/>
      <c r="G148" s="268"/>
      <c r="H148" s="268"/>
      <c r="I148" s="268"/>
      <c r="J148" s="269"/>
    </row>
    <row r="149" spans="2:10">
      <c r="B149" s="266"/>
      <c r="C149" s="266"/>
      <c r="D149" s="267"/>
      <c r="E149" s="267"/>
      <c r="F149" s="268"/>
      <c r="G149" s="268"/>
      <c r="H149" s="268"/>
      <c r="I149" s="268"/>
      <c r="J149" s="269"/>
    </row>
    <row r="150" spans="2:10">
      <c r="B150" s="266"/>
      <c r="C150" s="266"/>
      <c r="D150" s="267"/>
      <c r="E150" s="267"/>
      <c r="F150" s="268"/>
      <c r="G150" s="268"/>
      <c r="H150" s="268"/>
      <c r="I150" s="268"/>
      <c r="J150" s="269"/>
    </row>
    <row r="151" spans="2:10">
      <c r="B151" s="266"/>
      <c r="C151" s="266"/>
      <c r="D151" s="267"/>
      <c r="E151" s="267"/>
      <c r="F151" s="268"/>
      <c r="G151" s="268"/>
      <c r="H151" s="268"/>
      <c r="I151" s="268"/>
      <c r="J151" s="269"/>
    </row>
    <row r="152" spans="2:10">
      <c r="B152" s="266"/>
      <c r="C152" s="266"/>
      <c r="D152" s="267"/>
      <c r="E152" s="267"/>
      <c r="F152" s="268"/>
      <c r="G152" s="268"/>
      <c r="H152" s="268"/>
      <c r="I152" s="268"/>
      <c r="J152" s="269"/>
    </row>
    <row r="153" spans="2:10">
      <c r="B153" s="266"/>
      <c r="C153" s="266"/>
      <c r="D153" s="267"/>
      <c r="E153" s="267"/>
      <c r="F153" s="268"/>
      <c r="G153" s="268"/>
      <c r="H153" s="268"/>
      <c r="I153" s="268"/>
      <c r="J153" s="269"/>
    </row>
    <row r="154" spans="2:10">
      <c r="B154" s="266"/>
      <c r="C154" s="266"/>
      <c r="D154" s="267"/>
      <c r="E154" s="267"/>
      <c r="F154" s="268"/>
      <c r="G154" s="268"/>
      <c r="H154" s="268"/>
      <c r="I154" s="268"/>
      <c r="J154" s="269"/>
    </row>
    <row r="155" spans="2:10">
      <c r="B155" s="686" t="s">
        <v>1011</v>
      </c>
      <c r="C155" s="687"/>
      <c r="D155" s="687"/>
      <c r="E155" s="687"/>
      <c r="F155" s="687"/>
      <c r="G155" s="687"/>
      <c r="H155" s="687"/>
      <c r="I155" s="688"/>
      <c r="J155" s="270">
        <f>ROUND(SUM(J142:J154),2)</f>
        <v>126.57</v>
      </c>
    </row>
    <row r="156" spans="2:10">
      <c r="B156" s="690"/>
      <c r="C156" s="690"/>
      <c r="D156" s="690"/>
      <c r="E156" s="690"/>
      <c r="F156" s="690"/>
      <c r="G156" s="690"/>
      <c r="H156" s="690"/>
      <c r="I156" s="690"/>
      <c r="J156" s="690"/>
    </row>
    <row r="157" spans="2:10" ht="30">
      <c r="B157" s="263" t="s">
        <v>1013</v>
      </c>
      <c r="C157" s="264" t="s">
        <v>1002</v>
      </c>
      <c r="D157" s="264" t="s">
        <v>1003</v>
      </c>
      <c r="E157" s="265" t="s">
        <v>1004</v>
      </c>
      <c r="F157" s="265" t="s">
        <v>1005</v>
      </c>
      <c r="G157" s="265" t="s">
        <v>1006</v>
      </c>
      <c r="H157" s="265" t="s">
        <v>1007</v>
      </c>
      <c r="I157" s="265" t="s">
        <v>1008</v>
      </c>
      <c r="J157" s="265" t="s">
        <v>1009</v>
      </c>
    </row>
    <row r="158" spans="2:10">
      <c r="B158" s="295" t="s">
        <v>1250</v>
      </c>
      <c r="C158" s="296" t="s">
        <v>610</v>
      </c>
      <c r="D158" s="267"/>
      <c r="E158" s="268">
        <v>1</v>
      </c>
      <c r="F158" s="268"/>
      <c r="G158" s="268">
        <v>5.5</v>
      </c>
      <c r="H158" s="268"/>
      <c r="I158" s="268">
        <f>G158</f>
        <v>5.5</v>
      </c>
      <c r="J158" s="271">
        <f>I158*E158</f>
        <v>5.5</v>
      </c>
    </row>
    <row r="159" spans="2:10">
      <c r="B159" s="266"/>
      <c r="C159" s="267"/>
      <c r="D159" s="267"/>
      <c r="E159" s="268"/>
      <c r="F159" s="268"/>
      <c r="G159" s="268"/>
      <c r="H159" s="268"/>
      <c r="I159" s="268"/>
      <c r="J159" s="271"/>
    </row>
    <row r="160" spans="2:10">
      <c r="B160" s="266"/>
      <c r="C160" s="267"/>
      <c r="D160" s="267"/>
      <c r="E160" s="268"/>
      <c r="F160" s="268"/>
      <c r="G160" s="268"/>
      <c r="H160" s="268"/>
      <c r="I160" s="268"/>
      <c r="J160" s="271"/>
    </row>
    <row r="161" spans="2:10">
      <c r="B161" s="266"/>
      <c r="C161" s="267"/>
      <c r="D161" s="267"/>
      <c r="E161" s="268"/>
      <c r="F161" s="268"/>
      <c r="G161" s="268"/>
      <c r="H161" s="268"/>
      <c r="I161" s="268"/>
      <c r="J161" s="271"/>
    </row>
    <row r="162" spans="2:10">
      <c r="B162" s="266"/>
      <c r="C162" s="266"/>
      <c r="D162" s="267"/>
      <c r="E162" s="267"/>
      <c r="F162" s="268"/>
      <c r="G162" s="268"/>
      <c r="H162" s="268"/>
      <c r="I162" s="268"/>
      <c r="J162" s="271"/>
    </row>
    <row r="163" spans="2:10">
      <c r="B163" s="686" t="s">
        <v>1011</v>
      </c>
      <c r="C163" s="687"/>
      <c r="D163" s="687"/>
      <c r="E163" s="687"/>
      <c r="F163" s="687"/>
      <c r="G163" s="687"/>
      <c r="H163" s="687"/>
      <c r="I163" s="688"/>
      <c r="J163" s="270">
        <f>ROUND(SUM(J158:J162),2)</f>
        <v>5.5</v>
      </c>
    </row>
    <row r="164" spans="2:10">
      <c r="B164" s="262"/>
      <c r="C164" s="262"/>
      <c r="D164" s="262"/>
      <c r="E164" s="262"/>
      <c r="F164" s="262"/>
      <c r="G164" s="262"/>
      <c r="H164" s="262"/>
      <c r="I164" s="262"/>
      <c r="J164" s="262"/>
    </row>
    <row r="165" spans="2:10">
      <c r="B165" s="691" t="s">
        <v>1014</v>
      </c>
      <c r="C165" s="691"/>
      <c r="D165" s="691"/>
      <c r="E165" s="691"/>
      <c r="F165" s="691"/>
      <c r="G165" s="691"/>
      <c r="H165" s="262"/>
      <c r="I165" s="262"/>
      <c r="J165" s="262"/>
    </row>
    <row r="166" spans="2:10">
      <c r="B166" s="692" t="s">
        <v>1015</v>
      </c>
      <c r="C166" s="693"/>
      <c r="D166" s="693"/>
      <c r="E166" s="694"/>
      <c r="F166" s="265" t="s">
        <v>1016</v>
      </c>
      <c r="G166" s="265" t="s">
        <v>1017</v>
      </c>
      <c r="H166" s="262"/>
      <c r="I166" s="262"/>
      <c r="J166" s="262"/>
    </row>
    <row r="167" spans="2:10">
      <c r="B167" s="678" t="s">
        <v>1018</v>
      </c>
      <c r="C167" s="679"/>
      <c r="D167" s="679"/>
      <c r="E167" s="680"/>
      <c r="F167" s="681">
        <f>$J$10</f>
        <v>0.91500000000000004</v>
      </c>
      <c r="G167" s="272">
        <f>J139</f>
        <v>125.6</v>
      </c>
      <c r="H167" s="262"/>
      <c r="I167" s="262"/>
      <c r="J167" s="262"/>
    </row>
    <row r="168" spans="2:10">
      <c r="B168" s="678" t="s">
        <v>1019</v>
      </c>
      <c r="C168" s="679"/>
      <c r="D168" s="679"/>
      <c r="E168" s="680"/>
      <c r="F168" s="695"/>
      <c r="G168" s="272">
        <f>J155</f>
        <v>126.57</v>
      </c>
      <c r="H168" s="262"/>
      <c r="I168" s="262"/>
      <c r="J168" s="262"/>
    </row>
    <row r="169" spans="2:10">
      <c r="B169" s="678" t="s">
        <v>1020</v>
      </c>
      <c r="C169" s="679"/>
      <c r="D169" s="679"/>
      <c r="E169" s="680"/>
      <c r="F169" s="695"/>
      <c r="G169" s="272">
        <f>J163</f>
        <v>5.5</v>
      </c>
      <c r="H169" s="262"/>
      <c r="I169" s="262"/>
      <c r="J169" s="262"/>
    </row>
    <row r="170" spans="2:10">
      <c r="B170" s="678" t="s">
        <v>1021</v>
      </c>
      <c r="C170" s="679"/>
      <c r="D170" s="679"/>
      <c r="E170" s="680"/>
      <c r="F170" s="695"/>
      <c r="G170" s="272">
        <v>1</v>
      </c>
      <c r="H170" s="262"/>
      <c r="I170" s="262"/>
      <c r="J170" s="262"/>
    </row>
    <row r="171" spans="2:10">
      <c r="B171" s="678" t="s">
        <v>1022</v>
      </c>
      <c r="C171" s="679"/>
      <c r="D171" s="679"/>
      <c r="E171" s="680"/>
      <c r="F171" s="695"/>
      <c r="G171" s="272">
        <f>G167+G169</f>
        <v>131.1</v>
      </c>
      <c r="H171" s="262"/>
      <c r="I171" s="262"/>
      <c r="J171" s="262"/>
    </row>
    <row r="172" spans="2:10">
      <c r="B172" s="678" t="s">
        <v>1023</v>
      </c>
      <c r="C172" s="679"/>
      <c r="D172" s="679"/>
      <c r="E172" s="680"/>
      <c r="F172" s="695"/>
      <c r="G172" s="272">
        <f>G171/G170</f>
        <v>131.1</v>
      </c>
      <c r="H172" s="262"/>
      <c r="I172" s="262"/>
      <c r="J172" s="262"/>
    </row>
    <row r="173" spans="2:10">
      <c r="B173" s="678" t="s">
        <v>1024</v>
      </c>
      <c r="C173" s="679"/>
      <c r="D173" s="679"/>
      <c r="E173" s="680"/>
      <c r="F173" s="682"/>
      <c r="G173" s="272">
        <f>G168+G172</f>
        <v>257.66999999999996</v>
      </c>
      <c r="H173" s="262"/>
      <c r="I173" s="262"/>
      <c r="J173" s="262"/>
    </row>
    <row r="174" spans="2:10">
      <c r="B174" s="678" t="s">
        <v>1025</v>
      </c>
      <c r="C174" s="679"/>
      <c r="D174" s="679"/>
      <c r="E174" s="680"/>
      <c r="F174" s="681">
        <f>$J$11</f>
        <v>0.14019999999999999</v>
      </c>
      <c r="G174" s="272">
        <f>G173*F174</f>
        <v>36.125333999999995</v>
      </c>
      <c r="H174" s="262"/>
      <c r="I174" s="262"/>
      <c r="J174" s="262"/>
    </row>
    <row r="175" spans="2:10">
      <c r="B175" s="683" t="s">
        <v>1026</v>
      </c>
      <c r="C175" s="684"/>
      <c r="D175" s="684"/>
      <c r="E175" s="685"/>
      <c r="F175" s="682"/>
      <c r="G175" s="273">
        <f>ROUND(SUM(G173+G174),2)</f>
        <v>293.8</v>
      </c>
      <c r="H175" s="262"/>
      <c r="I175" s="262"/>
      <c r="J175" s="262"/>
    </row>
    <row r="176" spans="2:10" ht="15.75" thickBot="1"/>
    <row r="177" spans="2:10" ht="15.75" thickBot="1">
      <c r="B177" s="696" t="s">
        <v>990</v>
      </c>
      <c r="C177" s="697"/>
      <c r="D177" s="697"/>
      <c r="E177" s="697"/>
      <c r="F177" s="697"/>
      <c r="G177" s="697"/>
      <c r="H177" s="697"/>
      <c r="I177" s="697"/>
      <c r="J177" s="698"/>
    </row>
    <row r="178" spans="2:10">
      <c r="B178" s="699" t="s">
        <v>7</v>
      </c>
      <c r="C178" s="699"/>
      <c r="D178" s="699"/>
      <c r="E178" s="699"/>
      <c r="F178" s="699"/>
      <c r="G178" s="699"/>
      <c r="H178" s="699"/>
      <c r="I178" s="699"/>
      <c r="J178" s="699"/>
    </row>
    <row r="179" spans="2:10" ht="15.75" thickBot="1">
      <c r="B179" s="699" t="s">
        <v>8</v>
      </c>
      <c r="C179" s="699"/>
      <c r="D179" s="699"/>
      <c r="E179" s="699"/>
      <c r="F179" s="699"/>
      <c r="G179" s="699"/>
      <c r="H179" s="699"/>
      <c r="I179" s="699"/>
      <c r="J179" s="699"/>
    </row>
    <row r="180" spans="2:10">
      <c r="B180" s="700" t="s">
        <v>991</v>
      </c>
      <c r="C180" s="249" t="s">
        <v>992</v>
      </c>
      <c r="D180" s="250">
        <v>6</v>
      </c>
      <c r="E180" s="251" t="s">
        <v>993</v>
      </c>
      <c r="F180" s="252">
        <v>2017</v>
      </c>
      <c r="G180" s="253"/>
      <c r="H180" s="253"/>
      <c r="I180" s="251" t="s">
        <v>994</v>
      </c>
      <c r="J180" s="254" t="s">
        <v>626</v>
      </c>
    </row>
    <row r="181" spans="2:10">
      <c r="B181" s="701"/>
      <c r="C181" s="255" t="s">
        <v>995</v>
      </c>
      <c r="D181" s="704" t="s">
        <v>1050</v>
      </c>
      <c r="E181" s="704"/>
      <c r="F181" s="256"/>
      <c r="G181" s="256"/>
      <c r="H181" s="256"/>
      <c r="I181" s="256"/>
      <c r="J181" s="257"/>
    </row>
    <row r="182" spans="2:10" ht="45.75" customHeight="1">
      <c r="B182" s="701"/>
      <c r="C182" s="255" t="s">
        <v>997</v>
      </c>
      <c r="D182" s="707" t="s">
        <v>1051</v>
      </c>
      <c r="E182" s="707"/>
      <c r="F182" s="707"/>
      <c r="G182" s="707"/>
      <c r="H182" s="707"/>
      <c r="I182" s="707"/>
      <c r="J182" s="708"/>
    </row>
    <row r="183" spans="2:10" ht="15.75" thickBot="1">
      <c r="B183" s="702"/>
      <c r="C183" s="258" t="s">
        <v>999</v>
      </c>
      <c r="D183" s="259" t="s">
        <v>23</v>
      </c>
      <c r="E183" s="260"/>
      <c r="F183" s="260"/>
      <c r="G183" s="260"/>
      <c r="H183" s="260"/>
      <c r="I183" s="260"/>
      <c r="J183" s="261"/>
    </row>
    <row r="184" spans="2:10">
      <c r="B184" s="262"/>
      <c r="C184" s="262"/>
      <c r="D184" s="262"/>
      <c r="E184" s="262"/>
      <c r="F184" s="262"/>
      <c r="G184" s="262"/>
      <c r="H184" s="262"/>
      <c r="I184" s="262"/>
      <c r="J184" s="262"/>
    </row>
    <row r="185" spans="2:10" ht="30">
      <c r="B185" s="263" t="s">
        <v>1001</v>
      </c>
      <c r="C185" s="264" t="s">
        <v>1002</v>
      </c>
      <c r="D185" s="264" t="s">
        <v>1003</v>
      </c>
      <c r="E185" s="265" t="s">
        <v>1004</v>
      </c>
      <c r="F185" s="265" t="s">
        <v>1005</v>
      </c>
      <c r="G185" s="265" t="s">
        <v>1006</v>
      </c>
      <c r="H185" s="265" t="s">
        <v>1007</v>
      </c>
      <c r="I185" s="265" t="s">
        <v>1008</v>
      </c>
      <c r="J185" s="265" t="s">
        <v>1009</v>
      </c>
    </row>
    <row r="186" spans="2:10">
      <c r="B186" s="295" t="s">
        <v>1101</v>
      </c>
      <c r="C186" s="267" t="s">
        <v>897</v>
      </c>
      <c r="D186" s="267">
        <v>88309</v>
      </c>
      <c r="E186" s="268">
        <v>8</v>
      </c>
      <c r="F186" s="268">
        <v>1</v>
      </c>
      <c r="G186" s="302">
        <f>(18.62/1.915)</f>
        <v>9.7232375979112273</v>
      </c>
      <c r="H186" s="268">
        <v>0</v>
      </c>
      <c r="I186" s="268">
        <f t="shared" ref="I186:I187" si="5">ROUND(G186*(1+$J$10),2)</f>
        <v>18.62</v>
      </c>
      <c r="J186" s="269">
        <f>I186*E186</f>
        <v>148.96</v>
      </c>
    </row>
    <row r="187" spans="2:10">
      <c r="B187" s="295" t="s">
        <v>1102</v>
      </c>
      <c r="C187" s="267" t="s">
        <v>897</v>
      </c>
      <c r="D187" s="267">
        <v>88316</v>
      </c>
      <c r="E187" s="268">
        <v>8</v>
      </c>
      <c r="F187" s="268">
        <v>1</v>
      </c>
      <c r="G187" s="268">
        <v>7.16</v>
      </c>
      <c r="H187" s="268">
        <v>0</v>
      </c>
      <c r="I187" s="268">
        <f t="shared" si="5"/>
        <v>13.71</v>
      </c>
      <c r="J187" s="269">
        <f>I187*E187</f>
        <v>109.68</v>
      </c>
    </row>
    <row r="188" spans="2:10">
      <c r="B188" s="266"/>
      <c r="C188" s="267"/>
      <c r="D188" s="267"/>
      <c r="E188" s="268"/>
      <c r="F188" s="268"/>
      <c r="G188" s="268"/>
      <c r="H188" s="268">
        <v>0</v>
      </c>
      <c r="I188" s="268">
        <f t="shared" ref="I188" si="6">ROUND(G188*(1+$J$10),2)</f>
        <v>0</v>
      </c>
      <c r="J188" s="269">
        <f>I188*E188</f>
        <v>0</v>
      </c>
    </row>
    <row r="189" spans="2:10">
      <c r="B189" s="266"/>
      <c r="C189" s="267"/>
      <c r="D189" s="267"/>
      <c r="E189" s="268"/>
      <c r="F189" s="268"/>
      <c r="G189" s="268"/>
      <c r="H189" s="268"/>
      <c r="I189" s="268"/>
      <c r="J189" s="269"/>
    </row>
    <row r="190" spans="2:10">
      <c r="B190" s="266"/>
      <c r="C190" s="267"/>
      <c r="D190" s="267"/>
      <c r="E190" s="268"/>
      <c r="F190" s="268"/>
      <c r="G190" s="268"/>
      <c r="H190" s="268"/>
      <c r="I190" s="268"/>
      <c r="J190" s="269"/>
    </row>
    <row r="191" spans="2:10">
      <c r="B191" s="266"/>
      <c r="C191" s="266"/>
      <c r="D191" s="267"/>
      <c r="E191" s="267"/>
      <c r="F191" s="268"/>
      <c r="G191" s="268"/>
      <c r="H191" s="268"/>
      <c r="I191" s="268"/>
      <c r="J191" s="269"/>
    </row>
    <row r="192" spans="2:10">
      <c r="B192" s="686" t="s">
        <v>1011</v>
      </c>
      <c r="C192" s="687"/>
      <c r="D192" s="687"/>
      <c r="E192" s="687"/>
      <c r="F192" s="687"/>
      <c r="G192" s="687"/>
      <c r="H192" s="687"/>
      <c r="I192" s="688"/>
      <c r="J192" s="270">
        <f>ROUND(SUM(J186:J191),2)</f>
        <v>258.64</v>
      </c>
    </row>
    <row r="193" spans="2:10">
      <c r="B193" s="689"/>
      <c r="C193" s="689"/>
      <c r="D193" s="689"/>
      <c r="E193" s="689"/>
      <c r="F193" s="689"/>
      <c r="G193" s="689"/>
      <c r="H193" s="689"/>
      <c r="I193" s="689"/>
      <c r="J193" s="689"/>
    </row>
    <row r="194" spans="2:10" ht="30">
      <c r="B194" s="263" t="s">
        <v>1012</v>
      </c>
      <c r="C194" s="264" t="s">
        <v>1002</v>
      </c>
      <c r="D194" s="264" t="s">
        <v>1003</v>
      </c>
      <c r="E194" s="265" t="s">
        <v>1004</v>
      </c>
      <c r="F194" s="265" t="s">
        <v>1005</v>
      </c>
      <c r="G194" s="265" t="s">
        <v>1006</v>
      </c>
      <c r="H194" s="265" t="s">
        <v>1007</v>
      </c>
      <c r="I194" s="265" t="s">
        <v>1008</v>
      </c>
      <c r="J194" s="265" t="s">
        <v>1009</v>
      </c>
    </row>
    <row r="195" spans="2:10">
      <c r="B195" s="266"/>
      <c r="C195" s="267"/>
      <c r="D195" s="267"/>
      <c r="E195" s="268"/>
      <c r="F195" s="268"/>
      <c r="G195" s="268"/>
      <c r="H195" s="268"/>
      <c r="I195" s="268"/>
      <c r="J195" s="269"/>
    </row>
    <row r="196" spans="2:10" ht="60">
      <c r="B196" s="295" t="s">
        <v>1209</v>
      </c>
      <c r="C196" s="296" t="s">
        <v>1163</v>
      </c>
      <c r="D196" s="267"/>
      <c r="E196" s="268">
        <v>1</v>
      </c>
      <c r="F196" s="268">
        <v>1</v>
      </c>
      <c r="G196" s="268">
        <v>3350</v>
      </c>
      <c r="H196" s="268"/>
      <c r="I196" s="268">
        <f>G196</f>
        <v>3350</v>
      </c>
      <c r="J196" s="269">
        <f>I196*E196</f>
        <v>3350</v>
      </c>
    </row>
    <row r="197" spans="2:10">
      <c r="B197" s="266"/>
      <c r="C197" s="267"/>
      <c r="D197" s="267"/>
      <c r="E197" s="268"/>
      <c r="F197" s="268"/>
      <c r="G197" s="268"/>
      <c r="H197" s="268"/>
      <c r="I197" s="268"/>
      <c r="J197" s="269"/>
    </row>
    <row r="198" spans="2:10">
      <c r="B198" s="266"/>
      <c r="C198" s="267"/>
      <c r="D198" s="267"/>
      <c r="E198" s="268"/>
      <c r="F198" s="268"/>
      <c r="G198" s="268"/>
      <c r="H198" s="268"/>
      <c r="I198" s="268"/>
      <c r="J198" s="269"/>
    </row>
    <row r="199" spans="2:10">
      <c r="B199" s="266"/>
      <c r="C199" s="266"/>
      <c r="D199" s="267"/>
      <c r="E199" s="267"/>
      <c r="F199" s="268"/>
      <c r="G199" s="268"/>
      <c r="H199" s="268"/>
      <c r="I199" s="268"/>
      <c r="J199" s="269"/>
    </row>
    <row r="200" spans="2:10">
      <c r="B200" s="266"/>
      <c r="C200" s="266"/>
      <c r="D200" s="267"/>
      <c r="E200" s="267"/>
      <c r="F200" s="268"/>
      <c r="G200" s="268"/>
      <c r="H200" s="268"/>
      <c r="I200" s="268"/>
      <c r="J200" s="269"/>
    </row>
    <row r="201" spans="2:10">
      <c r="B201" s="266"/>
      <c r="C201" s="266"/>
      <c r="D201" s="267"/>
      <c r="E201" s="267"/>
      <c r="F201" s="268"/>
      <c r="G201" s="268"/>
      <c r="H201" s="268"/>
      <c r="I201" s="268"/>
      <c r="J201" s="269"/>
    </row>
    <row r="202" spans="2:10">
      <c r="B202" s="266"/>
      <c r="C202" s="266"/>
      <c r="D202" s="267"/>
      <c r="E202" s="267"/>
      <c r="F202" s="268"/>
      <c r="G202" s="268"/>
      <c r="H202" s="268"/>
      <c r="I202" s="268"/>
      <c r="J202" s="269"/>
    </row>
    <row r="203" spans="2:10">
      <c r="B203" s="266"/>
      <c r="C203" s="266"/>
      <c r="D203" s="267"/>
      <c r="E203" s="267"/>
      <c r="F203" s="268"/>
      <c r="G203" s="268"/>
      <c r="H203" s="268"/>
      <c r="I203" s="268"/>
      <c r="J203" s="269"/>
    </row>
    <row r="204" spans="2:10">
      <c r="B204" s="266"/>
      <c r="C204" s="266"/>
      <c r="D204" s="267"/>
      <c r="E204" s="267"/>
      <c r="F204" s="268"/>
      <c r="G204" s="268"/>
      <c r="H204" s="268"/>
      <c r="I204" s="268"/>
      <c r="J204" s="269"/>
    </row>
    <row r="205" spans="2:10">
      <c r="B205" s="266"/>
      <c r="C205" s="266"/>
      <c r="D205" s="267"/>
      <c r="E205" s="267"/>
      <c r="F205" s="268"/>
      <c r="G205" s="268"/>
      <c r="H205" s="268"/>
      <c r="I205" s="268"/>
      <c r="J205" s="269"/>
    </row>
    <row r="206" spans="2:10">
      <c r="B206" s="266"/>
      <c r="C206" s="266"/>
      <c r="D206" s="267"/>
      <c r="E206" s="267"/>
      <c r="F206" s="268"/>
      <c r="G206" s="268"/>
      <c r="H206" s="268"/>
      <c r="I206" s="268"/>
      <c r="J206" s="269"/>
    </row>
    <row r="207" spans="2:10">
      <c r="B207" s="266"/>
      <c r="C207" s="266"/>
      <c r="D207" s="267"/>
      <c r="E207" s="267"/>
      <c r="F207" s="268"/>
      <c r="G207" s="268"/>
      <c r="H207" s="268"/>
      <c r="I207" s="268"/>
      <c r="J207" s="269"/>
    </row>
    <row r="208" spans="2:10">
      <c r="B208" s="686" t="s">
        <v>1011</v>
      </c>
      <c r="C208" s="687"/>
      <c r="D208" s="687"/>
      <c r="E208" s="687"/>
      <c r="F208" s="687"/>
      <c r="G208" s="687"/>
      <c r="H208" s="687"/>
      <c r="I208" s="688"/>
      <c r="J208" s="270">
        <f>ROUND(SUM(J195:J207),2)</f>
        <v>3350</v>
      </c>
    </row>
    <row r="209" spans="2:10">
      <c r="B209" s="690"/>
      <c r="C209" s="690"/>
      <c r="D209" s="690"/>
      <c r="E209" s="690"/>
      <c r="F209" s="690"/>
      <c r="G209" s="690"/>
      <c r="H209" s="690"/>
      <c r="I209" s="690"/>
      <c r="J209" s="690"/>
    </row>
    <row r="210" spans="2:10" ht="30">
      <c r="B210" s="263" t="s">
        <v>1013</v>
      </c>
      <c r="C210" s="264" t="s">
        <v>1002</v>
      </c>
      <c r="D210" s="264" t="s">
        <v>1003</v>
      </c>
      <c r="E210" s="265" t="s">
        <v>1004</v>
      </c>
      <c r="F210" s="265" t="s">
        <v>1005</v>
      </c>
      <c r="G210" s="265" t="s">
        <v>1006</v>
      </c>
      <c r="H210" s="265" t="s">
        <v>1007</v>
      </c>
      <c r="I210" s="265" t="s">
        <v>1008</v>
      </c>
      <c r="J210" s="265" t="s">
        <v>1009</v>
      </c>
    </row>
    <row r="211" spans="2:10">
      <c r="B211" s="295" t="s">
        <v>1250</v>
      </c>
      <c r="C211" s="296" t="s">
        <v>801</v>
      </c>
      <c r="D211" s="267"/>
      <c r="E211" s="268">
        <v>1</v>
      </c>
      <c r="F211" s="268"/>
      <c r="G211" s="268">
        <v>325</v>
      </c>
      <c r="H211" s="268"/>
      <c r="I211" s="268">
        <f>G211</f>
        <v>325</v>
      </c>
      <c r="J211" s="271">
        <f>I211*E211</f>
        <v>325</v>
      </c>
    </row>
    <row r="212" spans="2:10">
      <c r="B212" s="266"/>
      <c r="C212" s="267"/>
      <c r="D212" s="267"/>
      <c r="E212" s="268"/>
      <c r="F212" s="268"/>
      <c r="G212" s="268"/>
      <c r="H212" s="268"/>
      <c r="I212" s="268"/>
      <c r="J212" s="271"/>
    </row>
    <row r="213" spans="2:10">
      <c r="B213" s="266"/>
      <c r="C213" s="267"/>
      <c r="D213" s="267"/>
      <c r="E213" s="268"/>
      <c r="F213" s="268"/>
      <c r="G213" s="268"/>
      <c r="H213" s="268"/>
      <c r="I213" s="268"/>
      <c r="J213" s="271"/>
    </row>
    <row r="214" spans="2:10">
      <c r="B214" s="266"/>
      <c r="C214" s="267"/>
      <c r="D214" s="267"/>
      <c r="E214" s="268"/>
      <c r="F214" s="268"/>
      <c r="G214" s="268"/>
      <c r="H214" s="268"/>
      <c r="I214" s="268"/>
      <c r="J214" s="271"/>
    </row>
    <row r="215" spans="2:10">
      <c r="B215" s="266"/>
      <c r="C215" s="266"/>
      <c r="D215" s="267"/>
      <c r="E215" s="267"/>
      <c r="F215" s="268"/>
      <c r="G215" s="268"/>
      <c r="H215" s="268"/>
      <c r="I215" s="268"/>
      <c r="J215" s="271"/>
    </row>
    <row r="216" spans="2:10">
      <c r="B216" s="686" t="s">
        <v>1011</v>
      </c>
      <c r="C216" s="687"/>
      <c r="D216" s="687"/>
      <c r="E216" s="687"/>
      <c r="F216" s="687"/>
      <c r="G216" s="687"/>
      <c r="H216" s="687"/>
      <c r="I216" s="688"/>
      <c r="J216" s="270">
        <f>ROUND(SUM(J211:J215),2)</f>
        <v>325</v>
      </c>
    </row>
    <row r="217" spans="2:10">
      <c r="B217" s="262"/>
      <c r="C217" s="262"/>
      <c r="D217" s="262"/>
      <c r="E217" s="262"/>
      <c r="F217" s="262"/>
      <c r="G217" s="262"/>
      <c r="H217" s="262"/>
      <c r="I217" s="262"/>
      <c r="J217" s="262"/>
    </row>
    <row r="218" spans="2:10">
      <c r="B218" s="691" t="s">
        <v>1014</v>
      </c>
      <c r="C218" s="691"/>
      <c r="D218" s="691"/>
      <c r="E218" s="691"/>
      <c r="F218" s="691"/>
      <c r="G218" s="691"/>
      <c r="H218" s="262"/>
      <c r="I218" s="262"/>
      <c r="J218" s="262"/>
    </row>
    <row r="219" spans="2:10">
      <c r="B219" s="692" t="s">
        <v>1015</v>
      </c>
      <c r="C219" s="693"/>
      <c r="D219" s="693"/>
      <c r="E219" s="694"/>
      <c r="F219" s="265" t="s">
        <v>1016</v>
      </c>
      <c r="G219" s="265" t="s">
        <v>1017</v>
      </c>
      <c r="H219" s="262"/>
      <c r="I219" s="262"/>
      <c r="J219" s="262"/>
    </row>
    <row r="220" spans="2:10">
      <c r="B220" s="678" t="s">
        <v>1018</v>
      </c>
      <c r="C220" s="679"/>
      <c r="D220" s="679"/>
      <c r="E220" s="680"/>
      <c r="F220" s="681">
        <f>$J$10</f>
        <v>0.91500000000000004</v>
      </c>
      <c r="G220" s="272">
        <f>J192</f>
        <v>258.64</v>
      </c>
      <c r="H220" s="262"/>
      <c r="I220" s="262"/>
      <c r="J220" s="262"/>
    </row>
    <row r="221" spans="2:10">
      <c r="B221" s="678" t="s">
        <v>1019</v>
      </c>
      <c r="C221" s="679"/>
      <c r="D221" s="679"/>
      <c r="E221" s="680"/>
      <c r="F221" s="695"/>
      <c r="G221" s="272">
        <f>J208</f>
        <v>3350</v>
      </c>
      <c r="H221" s="262"/>
      <c r="I221" s="262"/>
      <c r="J221" s="262"/>
    </row>
    <row r="222" spans="2:10">
      <c r="B222" s="678" t="s">
        <v>1020</v>
      </c>
      <c r="C222" s="679"/>
      <c r="D222" s="679"/>
      <c r="E222" s="680"/>
      <c r="F222" s="695"/>
      <c r="G222" s="272">
        <f>J216</f>
        <v>325</v>
      </c>
      <c r="H222" s="262"/>
      <c r="I222" s="262"/>
      <c r="J222" s="262"/>
    </row>
    <row r="223" spans="2:10">
      <c r="B223" s="678" t="s">
        <v>1021</v>
      </c>
      <c r="C223" s="679"/>
      <c r="D223" s="679"/>
      <c r="E223" s="680"/>
      <c r="F223" s="695"/>
      <c r="G223" s="272">
        <v>1</v>
      </c>
      <c r="H223" s="262"/>
      <c r="I223" s="262"/>
      <c r="J223" s="262"/>
    </row>
    <row r="224" spans="2:10">
      <c r="B224" s="678" t="s">
        <v>1022</v>
      </c>
      <c r="C224" s="679"/>
      <c r="D224" s="679"/>
      <c r="E224" s="680"/>
      <c r="F224" s="695"/>
      <c r="G224" s="272">
        <f>G220+G222</f>
        <v>583.64</v>
      </c>
      <c r="H224" s="262"/>
      <c r="I224" s="262"/>
      <c r="J224" s="262"/>
    </row>
    <row r="225" spans="2:10">
      <c r="B225" s="678" t="s">
        <v>1023</v>
      </c>
      <c r="C225" s="679"/>
      <c r="D225" s="679"/>
      <c r="E225" s="680"/>
      <c r="F225" s="695"/>
      <c r="G225" s="272">
        <f>G224/G223</f>
        <v>583.64</v>
      </c>
      <c r="H225" s="262"/>
      <c r="I225" s="262"/>
      <c r="J225" s="262"/>
    </row>
    <row r="226" spans="2:10">
      <c r="B226" s="678" t="s">
        <v>1024</v>
      </c>
      <c r="C226" s="679"/>
      <c r="D226" s="679"/>
      <c r="E226" s="680"/>
      <c r="F226" s="682"/>
      <c r="G226" s="272">
        <f>G221+G225</f>
        <v>3933.64</v>
      </c>
      <c r="H226" s="262"/>
      <c r="I226" s="262"/>
      <c r="J226" s="262"/>
    </row>
    <row r="227" spans="2:10">
      <c r="B227" s="678" t="s">
        <v>1025</v>
      </c>
      <c r="C227" s="679"/>
      <c r="D227" s="679"/>
      <c r="E227" s="680"/>
      <c r="F227" s="681">
        <f>$J$11</f>
        <v>0.14019999999999999</v>
      </c>
      <c r="G227" s="272">
        <f>G226*F227</f>
        <v>551.49632799999995</v>
      </c>
      <c r="H227" s="262"/>
      <c r="I227" s="262"/>
      <c r="J227" s="262"/>
    </row>
    <row r="228" spans="2:10">
      <c r="B228" s="683" t="s">
        <v>1026</v>
      </c>
      <c r="C228" s="684"/>
      <c r="D228" s="684"/>
      <c r="E228" s="685"/>
      <c r="F228" s="682"/>
      <c r="G228" s="273">
        <f>ROUND(SUM(G226+G227),2)</f>
        <v>4485.1400000000003</v>
      </c>
      <c r="H228" s="262"/>
      <c r="I228" s="262"/>
      <c r="J228" s="262"/>
    </row>
    <row r="229" spans="2:10" ht="15.75" thickBot="1"/>
    <row r="230" spans="2:10" ht="15.75" thickBot="1">
      <c r="B230" s="696" t="s">
        <v>990</v>
      </c>
      <c r="C230" s="697"/>
      <c r="D230" s="697"/>
      <c r="E230" s="697"/>
      <c r="F230" s="697"/>
      <c r="G230" s="697"/>
      <c r="H230" s="697"/>
      <c r="I230" s="697"/>
      <c r="J230" s="698"/>
    </row>
    <row r="231" spans="2:10">
      <c r="B231" s="699" t="s">
        <v>7</v>
      </c>
      <c r="C231" s="699"/>
      <c r="D231" s="699"/>
      <c r="E231" s="699"/>
      <c r="F231" s="699"/>
      <c r="G231" s="699"/>
      <c r="H231" s="699"/>
      <c r="I231" s="699"/>
      <c r="J231" s="699"/>
    </row>
    <row r="232" spans="2:10" ht="15.75" thickBot="1">
      <c r="B232" s="699" t="s">
        <v>8</v>
      </c>
      <c r="C232" s="699"/>
      <c r="D232" s="699"/>
      <c r="E232" s="699"/>
      <c r="F232" s="699"/>
      <c r="G232" s="699"/>
      <c r="H232" s="699"/>
      <c r="I232" s="699"/>
      <c r="J232" s="699"/>
    </row>
    <row r="233" spans="2:10">
      <c r="B233" s="700" t="s">
        <v>991</v>
      </c>
      <c r="C233" s="249" t="s">
        <v>992</v>
      </c>
      <c r="D233" s="250">
        <v>6</v>
      </c>
      <c r="E233" s="251" t="s">
        <v>993</v>
      </c>
      <c r="F233" s="252">
        <v>2017</v>
      </c>
      <c r="G233" s="253"/>
      <c r="H233" s="253"/>
      <c r="I233" s="251" t="s">
        <v>994</v>
      </c>
      <c r="J233" s="254" t="s">
        <v>1052</v>
      </c>
    </row>
    <row r="234" spans="2:10">
      <c r="B234" s="701"/>
      <c r="C234" s="255" t="s">
        <v>995</v>
      </c>
      <c r="D234" s="704" t="s">
        <v>1053</v>
      </c>
      <c r="E234" s="704"/>
      <c r="F234" s="256"/>
      <c r="G234" s="256"/>
      <c r="H234" s="256"/>
      <c r="I234" s="256"/>
      <c r="J234" s="257"/>
    </row>
    <row r="235" spans="2:10" ht="45.75" customHeight="1">
      <c r="B235" s="701"/>
      <c r="C235" s="255" t="s">
        <v>997</v>
      </c>
      <c r="D235" s="707" t="s">
        <v>1054</v>
      </c>
      <c r="E235" s="707"/>
      <c r="F235" s="707"/>
      <c r="G235" s="707"/>
      <c r="H235" s="707"/>
      <c r="I235" s="707"/>
      <c r="J235" s="708"/>
    </row>
    <row r="236" spans="2:10" ht="15.75" thickBot="1">
      <c r="B236" s="702"/>
      <c r="C236" s="258" t="s">
        <v>999</v>
      </c>
      <c r="D236" s="259" t="s">
        <v>23</v>
      </c>
      <c r="E236" s="260"/>
      <c r="F236" s="260"/>
      <c r="G236" s="260"/>
      <c r="H236" s="260"/>
      <c r="I236" s="260"/>
      <c r="J236" s="261"/>
    </row>
    <row r="237" spans="2:10">
      <c r="B237" s="262"/>
      <c r="C237" s="262"/>
      <c r="D237" s="262"/>
      <c r="E237" s="262"/>
      <c r="F237" s="262"/>
      <c r="G237" s="262"/>
      <c r="H237" s="262"/>
      <c r="I237" s="262"/>
      <c r="J237" s="262"/>
    </row>
    <row r="238" spans="2:10" ht="30">
      <c r="B238" s="263" t="s">
        <v>1001</v>
      </c>
      <c r="C238" s="264" t="s">
        <v>1002</v>
      </c>
      <c r="D238" s="264" t="s">
        <v>1003</v>
      </c>
      <c r="E238" s="265" t="s">
        <v>1004</v>
      </c>
      <c r="F238" s="265" t="s">
        <v>1005</v>
      </c>
      <c r="G238" s="265" t="s">
        <v>1006</v>
      </c>
      <c r="H238" s="265" t="s">
        <v>1007</v>
      </c>
      <c r="I238" s="265" t="s">
        <v>1008</v>
      </c>
      <c r="J238" s="265" t="s">
        <v>1009</v>
      </c>
    </row>
    <row r="239" spans="2:10">
      <c r="B239" s="295" t="s">
        <v>1101</v>
      </c>
      <c r="C239" s="267" t="s">
        <v>897</v>
      </c>
      <c r="D239" s="267">
        <v>88309</v>
      </c>
      <c r="E239" s="268">
        <v>8</v>
      </c>
      <c r="F239" s="268">
        <v>1</v>
      </c>
      <c r="G239" s="302">
        <f>(18.62/1.915)</f>
        <v>9.7232375979112273</v>
      </c>
      <c r="H239" s="268">
        <v>0</v>
      </c>
      <c r="I239" s="268">
        <f t="shared" ref="I239:I240" si="7">ROUND(G239*(1+$J$10),2)</f>
        <v>18.62</v>
      </c>
      <c r="J239" s="269">
        <f>I239*E239</f>
        <v>148.96</v>
      </c>
    </row>
    <row r="240" spans="2:10">
      <c r="B240" s="295" t="s">
        <v>1102</v>
      </c>
      <c r="C240" s="267" t="s">
        <v>897</v>
      </c>
      <c r="D240" s="267">
        <v>88316</v>
      </c>
      <c r="E240" s="268">
        <v>8</v>
      </c>
      <c r="F240" s="268">
        <v>1</v>
      </c>
      <c r="G240" s="268">
        <v>7.16</v>
      </c>
      <c r="H240" s="268">
        <v>0</v>
      </c>
      <c r="I240" s="268">
        <f t="shared" si="7"/>
        <v>13.71</v>
      </c>
      <c r="J240" s="269">
        <f>I240*E240</f>
        <v>109.68</v>
      </c>
    </row>
    <row r="241" spans="2:10">
      <c r="B241" s="266"/>
      <c r="C241" s="267"/>
      <c r="D241" s="267"/>
      <c r="E241" s="268"/>
      <c r="F241" s="268"/>
      <c r="G241" s="268"/>
      <c r="H241" s="268">
        <v>0</v>
      </c>
      <c r="I241" s="268">
        <f t="shared" ref="I241" si="8">ROUND(G241*(1+$J$10),2)</f>
        <v>0</v>
      </c>
      <c r="J241" s="269">
        <f>I241*E241</f>
        <v>0</v>
      </c>
    </row>
    <row r="242" spans="2:10">
      <c r="B242" s="266"/>
      <c r="C242" s="267"/>
      <c r="D242" s="267"/>
      <c r="E242" s="268"/>
      <c r="F242" s="268"/>
      <c r="G242" s="268"/>
      <c r="H242" s="268"/>
      <c r="I242" s="268"/>
      <c r="J242" s="269"/>
    </row>
    <row r="243" spans="2:10">
      <c r="B243" s="266"/>
      <c r="C243" s="267"/>
      <c r="D243" s="267"/>
      <c r="E243" s="268"/>
      <c r="F243" s="268"/>
      <c r="G243" s="268"/>
      <c r="H243" s="268"/>
      <c r="I243" s="268"/>
      <c r="J243" s="269"/>
    </row>
    <row r="244" spans="2:10">
      <c r="B244" s="266"/>
      <c r="C244" s="266"/>
      <c r="D244" s="267"/>
      <c r="E244" s="267"/>
      <c r="F244" s="268"/>
      <c r="G244" s="268"/>
      <c r="H244" s="268"/>
      <c r="I244" s="268"/>
      <c r="J244" s="269"/>
    </row>
    <row r="245" spans="2:10">
      <c r="B245" s="686" t="s">
        <v>1011</v>
      </c>
      <c r="C245" s="687"/>
      <c r="D245" s="687"/>
      <c r="E245" s="687"/>
      <c r="F245" s="687"/>
      <c r="G245" s="687"/>
      <c r="H245" s="687"/>
      <c r="I245" s="688"/>
      <c r="J245" s="270">
        <f>ROUND(SUM(J239:J244),2)</f>
        <v>258.64</v>
      </c>
    </row>
    <row r="246" spans="2:10">
      <c r="B246" s="689"/>
      <c r="C246" s="689"/>
      <c r="D246" s="689"/>
      <c r="E246" s="689"/>
      <c r="F246" s="689"/>
      <c r="G246" s="689"/>
      <c r="H246" s="689"/>
      <c r="I246" s="689"/>
      <c r="J246" s="689"/>
    </row>
    <row r="247" spans="2:10" ht="30">
      <c r="B247" s="263" t="s">
        <v>1012</v>
      </c>
      <c r="C247" s="264" t="s">
        <v>1002</v>
      </c>
      <c r="D247" s="264" t="s">
        <v>1003</v>
      </c>
      <c r="E247" s="265" t="s">
        <v>1004</v>
      </c>
      <c r="F247" s="265" t="s">
        <v>1005</v>
      </c>
      <c r="G247" s="265" t="s">
        <v>1006</v>
      </c>
      <c r="H247" s="265" t="s">
        <v>1007</v>
      </c>
      <c r="I247" s="265" t="s">
        <v>1008</v>
      </c>
      <c r="J247" s="265" t="s">
        <v>1009</v>
      </c>
    </row>
    <row r="248" spans="2:10">
      <c r="B248" s="266"/>
      <c r="C248" s="267"/>
      <c r="D248" s="267"/>
      <c r="E248" s="268"/>
      <c r="F248" s="268"/>
      <c r="G248" s="268"/>
      <c r="H248" s="268"/>
      <c r="I248" s="268"/>
      <c r="J248" s="269"/>
    </row>
    <row r="249" spans="2:10" ht="60">
      <c r="B249" s="295" t="s">
        <v>1210</v>
      </c>
      <c r="C249" s="267" t="s">
        <v>543</v>
      </c>
      <c r="D249" s="267"/>
      <c r="E249" s="268">
        <v>1</v>
      </c>
      <c r="F249" s="268">
        <v>1</v>
      </c>
      <c r="G249" s="268">
        <v>3350</v>
      </c>
      <c r="H249" s="268"/>
      <c r="I249" s="268">
        <f>G249</f>
        <v>3350</v>
      </c>
      <c r="J249" s="269">
        <f>I249*E249</f>
        <v>3350</v>
      </c>
    </row>
    <row r="250" spans="2:10">
      <c r="B250" s="266"/>
      <c r="C250" s="267"/>
      <c r="D250" s="267"/>
      <c r="E250" s="268"/>
      <c r="F250" s="268"/>
      <c r="G250" s="268"/>
      <c r="H250" s="268"/>
      <c r="I250" s="268"/>
      <c r="J250" s="269"/>
    </row>
    <row r="251" spans="2:10">
      <c r="B251" s="266"/>
      <c r="C251" s="267"/>
      <c r="D251" s="267"/>
      <c r="E251" s="268"/>
      <c r="F251" s="268"/>
      <c r="G251" s="268"/>
      <c r="H251" s="268"/>
      <c r="I251" s="268"/>
      <c r="J251" s="269"/>
    </row>
    <row r="252" spans="2:10">
      <c r="B252" s="266"/>
      <c r="C252" s="266"/>
      <c r="D252" s="267"/>
      <c r="E252" s="267"/>
      <c r="F252" s="268"/>
      <c r="G252" s="268"/>
      <c r="H252" s="268"/>
      <c r="I252" s="268"/>
      <c r="J252" s="269"/>
    </row>
    <row r="253" spans="2:10">
      <c r="B253" s="266"/>
      <c r="C253" s="266"/>
      <c r="D253" s="267"/>
      <c r="E253" s="267"/>
      <c r="F253" s="268"/>
      <c r="G253" s="268"/>
      <c r="H253" s="268"/>
      <c r="I253" s="268"/>
      <c r="J253" s="269"/>
    </row>
    <row r="254" spans="2:10">
      <c r="B254" s="266"/>
      <c r="C254" s="266"/>
      <c r="D254" s="267"/>
      <c r="E254" s="267"/>
      <c r="F254" s="268"/>
      <c r="G254" s="268"/>
      <c r="H254" s="268"/>
      <c r="I254" s="268"/>
      <c r="J254" s="269"/>
    </row>
    <row r="255" spans="2:10">
      <c r="B255" s="266"/>
      <c r="C255" s="266"/>
      <c r="D255" s="267"/>
      <c r="E255" s="267"/>
      <c r="F255" s="268"/>
      <c r="G255" s="268"/>
      <c r="H255" s="268"/>
      <c r="I255" s="268"/>
      <c r="J255" s="269"/>
    </row>
    <row r="256" spans="2:10">
      <c r="B256" s="266"/>
      <c r="C256" s="266"/>
      <c r="D256" s="267"/>
      <c r="E256" s="267"/>
      <c r="F256" s="268"/>
      <c r="G256" s="268"/>
      <c r="H256" s="268"/>
      <c r="I256" s="268"/>
      <c r="J256" s="269"/>
    </row>
    <row r="257" spans="2:10">
      <c r="B257" s="266"/>
      <c r="C257" s="266"/>
      <c r="D257" s="267"/>
      <c r="E257" s="267"/>
      <c r="F257" s="268"/>
      <c r="G257" s="268"/>
      <c r="H257" s="268"/>
      <c r="I257" s="268"/>
      <c r="J257" s="269"/>
    </row>
    <row r="258" spans="2:10">
      <c r="B258" s="266"/>
      <c r="C258" s="266"/>
      <c r="D258" s="267"/>
      <c r="E258" s="267"/>
      <c r="F258" s="268"/>
      <c r="G258" s="268"/>
      <c r="H258" s="268"/>
      <c r="I258" s="268"/>
      <c r="J258" s="269"/>
    </row>
    <row r="259" spans="2:10">
      <c r="B259" s="266"/>
      <c r="C259" s="266"/>
      <c r="D259" s="267"/>
      <c r="E259" s="267"/>
      <c r="F259" s="268"/>
      <c r="G259" s="268"/>
      <c r="H259" s="268"/>
      <c r="I259" s="268"/>
      <c r="J259" s="269"/>
    </row>
    <row r="260" spans="2:10">
      <c r="B260" s="266"/>
      <c r="C260" s="266"/>
      <c r="D260" s="267"/>
      <c r="E260" s="267"/>
      <c r="F260" s="268"/>
      <c r="G260" s="268"/>
      <c r="H260" s="268"/>
      <c r="I260" s="268"/>
      <c r="J260" s="269"/>
    </row>
    <row r="261" spans="2:10">
      <c r="B261" s="686" t="s">
        <v>1011</v>
      </c>
      <c r="C261" s="687"/>
      <c r="D261" s="687"/>
      <c r="E261" s="687"/>
      <c r="F261" s="687"/>
      <c r="G261" s="687"/>
      <c r="H261" s="687"/>
      <c r="I261" s="688"/>
      <c r="J261" s="270">
        <f>ROUND(SUM(J248:J260),2)</f>
        <v>3350</v>
      </c>
    </row>
    <row r="262" spans="2:10">
      <c r="B262" s="690"/>
      <c r="C262" s="690"/>
      <c r="D262" s="690"/>
      <c r="E262" s="690"/>
      <c r="F262" s="690"/>
      <c r="G262" s="690"/>
      <c r="H262" s="690"/>
      <c r="I262" s="690"/>
      <c r="J262" s="690"/>
    </row>
    <row r="263" spans="2:10" ht="30">
      <c r="B263" s="263" t="s">
        <v>1013</v>
      </c>
      <c r="C263" s="264" t="s">
        <v>1002</v>
      </c>
      <c r="D263" s="264" t="s">
        <v>1003</v>
      </c>
      <c r="E263" s="265" t="s">
        <v>1004</v>
      </c>
      <c r="F263" s="265" t="s">
        <v>1005</v>
      </c>
      <c r="G263" s="265" t="s">
        <v>1006</v>
      </c>
      <c r="H263" s="265" t="s">
        <v>1007</v>
      </c>
      <c r="I263" s="265" t="s">
        <v>1008</v>
      </c>
      <c r="J263" s="265" t="s">
        <v>1009</v>
      </c>
    </row>
    <row r="264" spans="2:10">
      <c r="B264" s="295" t="s">
        <v>1250</v>
      </c>
      <c r="C264" s="296" t="s">
        <v>801</v>
      </c>
      <c r="D264" s="267"/>
      <c r="E264" s="268">
        <v>1</v>
      </c>
      <c r="F264" s="268"/>
      <c r="G264" s="268">
        <v>325</v>
      </c>
      <c r="H264" s="268"/>
      <c r="I264" s="268">
        <f>G264</f>
        <v>325</v>
      </c>
      <c r="J264" s="271">
        <f>I264*E264</f>
        <v>325</v>
      </c>
    </row>
    <row r="265" spans="2:10">
      <c r="B265" s="266"/>
      <c r="C265" s="267"/>
      <c r="D265" s="267"/>
      <c r="E265" s="268"/>
      <c r="F265" s="268"/>
      <c r="G265" s="268"/>
      <c r="H265" s="268"/>
      <c r="I265" s="268"/>
      <c r="J265" s="271"/>
    </row>
    <row r="266" spans="2:10">
      <c r="B266" s="266"/>
      <c r="C266" s="267"/>
      <c r="D266" s="267"/>
      <c r="E266" s="268"/>
      <c r="F266" s="268"/>
      <c r="G266" s="268"/>
      <c r="H266" s="268"/>
      <c r="I266" s="268"/>
      <c r="J266" s="271"/>
    </row>
    <row r="267" spans="2:10">
      <c r="B267" s="266"/>
      <c r="C267" s="267"/>
      <c r="D267" s="267"/>
      <c r="E267" s="268"/>
      <c r="F267" s="268"/>
      <c r="G267" s="268"/>
      <c r="H267" s="268"/>
      <c r="I267" s="268"/>
      <c r="J267" s="271"/>
    </row>
    <row r="268" spans="2:10">
      <c r="B268" s="266"/>
      <c r="C268" s="266"/>
      <c r="D268" s="267"/>
      <c r="E268" s="267"/>
      <c r="F268" s="268"/>
      <c r="G268" s="268"/>
      <c r="H268" s="268"/>
      <c r="I268" s="268"/>
      <c r="J268" s="271"/>
    </row>
    <row r="269" spans="2:10">
      <c r="B269" s="686" t="s">
        <v>1011</v>
      </c>
      <c r="C269" s="687"/>
      <c r="D269" s="687"/>
      <c r="E269" s="687"/>
      <c r="F269" s="687"/>
      <c r="G269" s="687"/>
      <c r="H269" s="687"/>
      <c r="I269" s="688"/>
      <c r="J269" s="270">
        <f>ROUND(SUM(J264:J268),2)</f>
        <v>325</v>
      </c>
    </row>
    <row r="270" spans="2:10">
      <c r="B270" s="262"/>
      <c r="C270" s="262"/>
      <c r="D270" s="262"/>
      <c r="E270" s="262"/>
      <c r="F270" s="262"/>
      <c r="G270" s="262"/>
      <c r="H270" s="262"/>
      <c r="I270" s="262"/>
      <c r="J270" s="262"/>
    </row>
    <row r="271" spans="2:10">
      <c r="B271" s="691" t="s">
        <v>1014</v>
      </c>
      <c r="C271" s="691"/>
      <c r="D271" s="691"/>
      <c r="E271" s="691"/>
      <c r="F271" s="691"/>
      <c r="G271" s="691"/>
      <c r="H271" s="262"/>
      <c r="I271" s="262"/>
      <c r="J271" s="262"/>
    </row>
    <row r="272" spans="2:10">
      <c r="B272" s="692" t="s">
        <v>1015</v>
      </c>
      <c r="C272" s="693"/>
      <c r="D272" s="693"/>
      <c r="E272" s="694"/>
      <c r="F272" s="265" t="s">
        <v>1016</v>
      </c>
      <c r="G272" s="265" t="s">
        <v>1017</v>
      </c>
      <c r="H272" s="262"/>
      <c r="I272" s="262"/>
      <c r="J272" s="262"/>
    </row>
    <row r="273" spans="2:10">
      <c r="B273" s="678" t="s">
        <v>1018</v>
      </c>
      <c r="C273" s="679"/>
      <c r="D273" s="679"/>
      <c r="E273" s="680"/>
      <c r="F273" s="681">
        <f>$J$10</f>
        <v>0.91500000000000004</v>
      </c>
      <c r="G273" s="272">
        <f>J245</f>
        <v>258.64</v>
      </c>
      <c r="H273" s="262"/>
      <c r="I273" s="262"/>
      <c r="J273" s="262"/>
    </row>
    <row r="274" spans="2:10">
      <c r="B274" s="678" t="s">
        <v>1019</v>
      </c>
      <c r="C274" s="679"/>
      <c r="D274" s="679"/>
      <c r="E274" s="680"/>
      <c r="F274" s="695"/>
      <c r="G274" s="272">
        <f>J261</f>
        <v>3350</v>
      </c>
      <c r="H274" s="262"/>
      <c r="I274" s="262"/>
      <c r="J274" s="262"/>
    </row>
    <row r="275" spans="2:10">
      <c r="B275" s="678" t="s">
        <v>1020</v>
      </c>
      <c r="C275" s="679"/>
      <c r="D275" s="679"/>
      <c r="E275" s="680"/>
      <c r="F275" s="695"/>
      <c r="G275" s="272">
        <f>J269</f>
        <v>325</v>
      </c>
      <c r="H275" s="262"/>
      <c r="I275" s="262"/>
      <c r="J275" s="262"/>
    </row>
    <row r="276" spans="2:10">
      <c r="B276" s="678" t="s">
        <v>1021</v>
      </c>
      <c r="C276" s="679"/>
      <c r="D276" s="679"/>
      <c r="E276" s="680"/>
      <c r="F276" s="695"/>
      <c r="G276" s="272">
        <v>1</v>
      </c>
      <c r="H276" s="262"/>
      <c r="I276" s="262"/>
      <c r="J276" s="262"/>
    </row>
    <row r="277" spans="2:10">
      <c r="B277" s="678" t="s">
        <v>1022</v>
      </c>
      <c r="C277" s="679"/>
      <c r="D277" s="679"/>
      <c r="E277" s="680"/>
      <c r="F277" s="695"/>
      <c r="G277" s="272">
        <f>G273+G275</f>
        <v>583.64</v>
      </c>
      <c r="H277" s="262"/>
      <c r="I277" s="262"/>
      <c r="J277" s="262"/>
    </row>
    <row r="278" spans="2:10">
      <c r="B278" s="678" t="s">
        <v>1023</v>
      </c>
      <c r="C278" s="679"/>
      <c r="D278" s="679"/>
      <c r="E278" s="680"/>
      <c r="F278" s="695"/>
      <c r="G278" s="272">
        <f>G277/G276</f>
        <v>583.64</v>
      </c>
      <c r="H278" s="262"/>
      <c r="I278" s="262"/>
      <c r="J278" s="262"/>
    </row>
    <row r="279" spans="2:10">
      <c r="B279" s="678" t="s">
        <v>1024</v>
      </c>
      <c r="C279" s="679"/>
      <c r="D279" s="679"/>
      <c r="E279" s="680"/>
      <c r="F279" s="682"/>
      <c r="G279" s="272">
        <f>G274+G278</f>
        <v>3933.64</v>
      </c>
      <c r="H279" s="262"/>
      <c r="I279" s="262"/>
      <c r="J279" s="262"/>
    </row>
    <row r="280" spans="2:10">
      <c r="B280" s="678" t="s">
        <v>1025</v>
      </c>
      <c r="C280" s="679"/>
      <c r="D280" s="679"/>
      <c r="E280" s="680"/>
      <c r="F280" s="681">
        <f>$J$11</f>
        <v>0.14019999999999999</v>
      </c>
      <c r="G280" s="272">
        <f>G279*F280</f>
        <v>551.49632799999995</v>
      </c>
      <c r="H280" s="262"/>
      <c r="I280" s="262"/>
      <c r="J280" s="262"/>
    </row>
    <row r="281" spans="2:10">
      <c r="B281" s="683" t="s">
        <v>1026</v>
      </c>
      <c r="C281" s="684"/>
      <c r="D281" s="684"/>
      <c r="E281" s="685"/>
      <c r="F281" s="682"/>
      <c r="G281" s="273">
        <f>ROUND(SUM(G279+G280),2)</f>
        <v>4485.1400000000003</v>
      </c>
      <c r="H281" s="262"/>
      <c r="I281" s="262"/>
      <c r="J281" s="262"/>
    </row>
    <row r="282" spans="2:10" ht="15.75" thickBot="1"/>
    <row r="283" spans="2:10" ht="15.75" thickBot="1">
      <c r="B283" s="696" t="s">
        <v>990</v>
      </c>
      <c r="C283" s="697"/>
      <c r="D283" s="697"/>
      <c r="E283" s="697"/>
      <c r="F283" s="697"/>
      <c r="G283" s="697"/>
      <c r="H283" s="697"/>
      <c r="I283" s="697"/>
      <c r="J283" s="698"/>
    </row>
    <row r="284" spans="2:10">
      <c r="B284" s="699" t="s">
        <v>7</v>
      </c>
      <c r="C284" s="699"/>
      <c r="D284" s="699"/>
      <c r="E284" s="699"/>
      <c r="F284" s="699"/>
      <c r="G284" s="699"/>
      <c r="H284" s="699"/>
      <c r="I284" s="699"/>
      <c r="J284" s="699"/>
    </row>
    <row r="285" spans="2:10" ht="15.75" thickBot="1">
      <c r="B285" s="699" t="s">
        <v>8</v>
      </c>
      <c r="C285" s="699"/>
      <c r="D285" s="699"/>
      <c r="E285" s="699"/>
      <c r="F285" s="699"/>
      <c r="G285" s="699"/>
      <c r="H285" s="699"/>
      <c r="I285" s="699"/>
      <c r="J285" s="699"/>
    </row>
    <row r="286" spans="2:10">
      <c r="B286" s="700" t="s">
        <v>991</v>
      </c>
      <c r="C286" s="249" t="s">
        <v>992</v>
      </c>
      <c r="D286" s="250">
        <v>6</v>
      </c>
      <c r="E286" s="251" t="s">
        <v>993</v>
      </c>
      <c r="F286" s="252">
        <v>2017</v>
      </c>
      <c r="G286" s="253"/>
      <c r="H286" s="253"/>
      <c r="I286" s="251" t="s">
        <v>994</v>
      </c>
      <c r="J286" s="254" t="s">
        <v>664</v>
      </c>
    </row>
    <row r="287" spans="2:10">
      <c r="B287" s="701"/>
      <c r="C287" s="255" t="s">
        <v>995</v>
      </c>
      <c r="D287" s="704" t="s">
        <v>1055</v>
      </c>
      <c r="E287" s="704"/>
      <c r="F287" s="256"/>
      <c r="G287" s="256"/>
      <c r="H287" s="256"/>
      <c r="I287" s="256"/>
      <c r="J287" s="257"/>
    </row>
    <row r="288" spans="2:10" ht="62.25" customHeight="1">
      <c r="B288" s="701"/>
      <c r="C288" s="255" t="s">
        <v>997</v>
      </c>
      <c r="D288" s="705" t="s">
        <v>1056</v>
      </c>
      <c r="E288" s="705"/>
      <c r="F288" s="705"/>
      <c r="G288" s="705"/>
      <c r="H288" s="705"/>
      <c r="I288" s="705"/>
      <c r="J288" s="706"/>
    </row>
    <row r="289" spans="2:10" ht="15.75" thickBot="1">
      <c r="B289" s="702"/>
      <c r="C289" s="258" t="s">
        <v>999</v>
      </c>
      <c r="D289" s="259" t="s">
        <v>543</v>
      </c>
      <c r="E289" s="260"/>
      <c r="F289" s="260"/>
      <c r="G289" s="260"/>
      <c r="H289" s="260"/>
      <c r="I289" s="260"/>
      <c r="J289" s="261"/>
    </row>
    <row r="290" spans="2:10">
      <c r="B290" s="262"/>
      <c r="C290" s="262"/>
      <c r="D290" s="262"/>
      <c r="E290" s="262"/>
      <c r="F290" s="262"/>
      <c r="G290" s="262"/>
      <c r="H290" s="262"/>
      <c r="I290" s="262"/>
      <c r="J290" s="262"/>
    </row>
    <row r="291" spans="2:10" ht="30">
      <c r="B291" s="263" t="s">
        <v>1001</v>
      </c>
      <c r="C291" s="264" t="s">
        <v>1002</v>
      </c>
      <c r="D291" s="264" t="s">
        <v>1003</v>
      </c>
      <c r="E291" s="265" t="s">
        <v>1004</v>
      </c>
      <c r="F291" s="265" t="s">
        <v>1005</v>
      </c>
      <c r="G291" s="265" t="s">
        <v>1006</v>
      </c>
      <c r="H291" s="265" t="s">
        <v>1007</v>
      </c>
      <c r="I291" s="265" t="s">
        <v>1008</v>
      </c>
      <c r="J291" s="265" t="s">
        <v>1009</v>
      </c>
    </row>
    <row r="292" spans="2:10">
      <c r="B292" s="266"/>
      <c r="C292" s="267"/>
      <c r="D292" s="267"/>
      <c r="E292" s="268"/>
      <c r="F292" s="268"/>
      <c r="G292" s="268"/>
      <c r="H292" s="268">
        <v>0</v>
      </c>
      <c r="I292" s="268">
        <f t="shared" ref="I292:I294" si="9">ROUND(G292*(1+$J$10),2)</f>
        <v>0</v>
      </c>
      <c r="J292" s="269">
        <f>I292*E292</f>
        <v>0</v>
      </c>
    </row>
    <row r="293" spans="2:10">
      <c r="B293" s="266"/>
      <c r="C293" s="267"/>
      <c r="D293" s="267"/>
      <c r="E293" s="268"/>
      <c r="F293" s="268"/>
      <c r="G293" s="268"/>
      <c r="H293" s="268">
        <v>0</v>
      </c>
      <c r="I293" s="268">
        <f t="shared" si="9"/>
        <v>0</v>
      </c>
      <c r="J293" s="269">
        <f>I293*E293</f>
        <v>0</v>
      </c>
    </row>
    <row r="294" spans="2:10">
      <c r="B294" s="266"/>
      <c r="C294" s="267"/>
      <c r="D294" s="267"/>
      <c r="E294" s="268"/>
      <c r="F294" s="268"/>
      <c r="G294" s="268"/>
      <c r="H294" s="268">
        <v>0</v>
      </c>
      <c r="I294" s="268">
        <f t="shared" si="9"/>
        <v>0</v>
      </c>
      <c r="J294" s="269">
        <f>I294*E294</f>
        <v>0</v>
      </c>
    </row>
    <row r="295" spans="2:10">
      <c r="B295" s="266"/>
      <c r="C295" s="267"/>
      <c r="D295" s="267"/>
      <c r="E295" s="268"/>
      <c r="F295" s="268"/>
      <c r="G295" s="268"/>
      <c r="H295" s="268"/>
      <c r="I295" s="268"/>
      <c r="J295" s="269"/>
    </row>
    <row r="296" spans="2:10">
      <c r="B296" s="266"/>
      <c r="C296" s="267"/>
      <c r="D296" s="267"/>
      <c r="E296" s="268"/>
      <c r="F296" s="268"/>
      <c r="G296" s="268"/>
      <c r="H296" s="268"/>
      <c r="I296" s="268"/>
      <c r="J296" s="269"/>
    </row>
    <row r="297" spans="2:10">
      <c r="B297" s="266"/>
      <c r="C297" s="266"/>
      <c r="D297" s="267"/>
      <c r="E297" s="267"/>
      <c r="F297" s="268"/>
      <c r="G297" s="268"/>
      <c r="H297" s="268"/>
      <c r="I297" s="268"/>
      <c r="J297" s="269"/>
    </row>
    <row r="298" spans="2:10">
      <c r="B298" s="686" t="s">
        <v>1011</v>
      </c>
      <c r="C298" s="687"/>
      <c r="D298" s="687"/>
      <c r="E298" s="687"/>
      <c r="F298" s="687"/>
      <c r="G298" s="687"/>
      <c r="H298" s="687"/>
      <c r="I298" s="688"/>
      <c r="J298" s="270">
        <f>ROUND(SUM(J292:J297),2)</f>
        <v>0</v>
      </c>
    </row>
    <row r="299" spans="2:10">
      <c r="B299" s="689"/>
      <c r="C299" s="689"/>
      <c r="D299" s="689"/>
      <c r="E299" s="689"/>
      <c r="F299" s="689"/>
      <c r="G299" s="689"/>
      <c r="H299" s="689"/>
      <c r="I299" s="689"/>
      <c r="J299" s="689"/>
    </row>
    <row r="300" spans="2:10" ht="30">
      <c r="B300" s="263" t="s">
        <v>1012</v>
      </c>
      <c r="C300" s="264" t="s">
        <v>1002</v>
      </c>
      <c r="D300" s="264" t="s">
        <v>1003</v>
      </c>
      <c r="E300" s="265" t="s">
        <v>1004</v>
      </c>
      <c r="F300" s="265" t="s">
        <v>1005</v>
      </c>
      <c r="G300" s="265" t="s">
        <v>1006</v>
      </c>
      <c r="H300" s="265" t="s">
        <v>1007</v>
      </c>
      <c r="I300" s="265" t="s">
        <v>1008</v>
      </c>
      <c r="J300" s="265" t="s">
        <v>1009</v>
      </c>
    </row>
    <row r="301" spans="2:10" ht="120">
      <c r="B301" s="295" t="s">
        <v>1097</v>
      </c>
      <c r="C301" s="267" t="s">
        <v>543</v>
      </c>
      <c r="D301" s="267"/>
      <c r="E301" s="268">
        <v>1</v>
      </c>
      <c r="F301" s="268">
        <v>1</v>
      </c>
      <c r="G301" s="268">
        <v>350</v>
      </c>
      <c r="H301" s="268"/>
      <c r="I301" s="268">
        <f>G301</f>
        <v>350</v>
      </c>
      <c r="J301" s="269">
        <f>I301*E301</f>
        <v>350</v>
      </c>
    </row>
    <row r="302" spans="2:10">
      <c r="B302" s="266"/>
      <c r="C302" s="267"/>
      <c r="D302" s="267"/>
      <c r="E302" s="268"/>
      <c r="F302" s="268"/>
      <c r="G302" s="268"/>
      <c r="H302" s="268"/>
      <c r="I302" s="268">
        <f>G302</f>
        <v>0</v>
      </c>
      <c r="J302" s="269">
        <f>I302*E302</f>
        <v>0</v>
      </c>
    </row>
    <row r="303" spans="2:10">
      <c r="B303" s="266"/>
      <c r="C303" s="267"/>
      <c r="D303" s="267"/>
      <c r="E303" s="268"/>
      <c r="F303" s="268"/>
      <c r="G303" s="268"/>
      <c r="H303" s="268"/>
      <c r="I303" s="268"/>
      <c r="J303" s="269"/>
    </row>
    <row r="304" spans="2:10">
      <c r="B304" s="266"/>
      <c r="C304" s="267"/>
      <c r="D304" s="267"/>
      <c r="E304" s="268"/>
      <c r="F304" s="268"/>
      <c r="G304" s="268"/>
      <c r="H304" s="268"/>
      <c r="I304" s="268"/>
      <c r="J304" s="269"/>
    </row>
    <row r="305" spans="2:10">
      <c r="B305" s="266"/>
      <c r="C305" s="266"/>
      <c r="D305" s="267"/>
      <c r="E305" s="267"/>
      <c r="F305" s="268"/>
      <c r="G305" s="268"/>
      <c r="H305" s="268"/>
      <c r="I305" s="268"/>
      <c r="J305" s="269"/>
    </row>
    <row r="306" spans="2:10">
      <c r="B306" s="266"/>
      <c r="C306" s="266"/>
      <c r="D306" s="267"/>
      <c r="E306" s="267"/>
      <c r="F306" s="268"/>
      <c r="G306" s="268"/>
      <c r="H306" s="268"/>
      <c r="I306" s="268"/>
      <c r="J306" s="269"/>
    </row>
    <row r="307" spans="2:10">
      <c r="B307" s="266"/>
      <c r="C307" s="266"/>
      <c r="D307" s="267"/>
      <c r="E307" s="267"/>
      <c r="F307" s="268"/>
      <c r="G307" s="268"/>
      <c r="H307" s="268"/>
      <c r="I307" s="268"/>
      <c r="J307" s="269"/>
    </row>
    <row r="308" spans="2:10">
      <c r="B308" s="266"/>
      <c r="C308" s="266"/>
      <c r="D308" s="267"/>
      <c r="E308" s="267"/>
      <c r="F308" s="268"/>
      <c r="G308" s="268"/>
      <c r="H308" s="268"/>
      <c r="I308" s="268"/>
      <c r="J308" s="269"/>
    </row>
    <row r="309" spans="2:10">
      <c r="B309" s="686" t="s">
        <v>1011</v>
      </c>
      <c r="C309" s="687"/>
      <c r="D309" s="687"/>
      <c r="E309" s="687"/>
      <c r="F309" s="687"/>
      <c r="G309" s="687"/>
      <c r="H309" s="687"/>
      <c r="I309" s="688"/>
      <c r="J309" s="270">
        <f>ROUND(SUM(J301:J308),2)</f>
        <v>350</v>
      </c>
    </row>
    <row r="310" spans="2:10">
      <c r="B310" s="690"/>
      <c r="C310" s="690"/>
      <c r="D310" s="690"/>
      <c r="E310" s="690"/>
      <c r="F310" s="690"/>
      <c r="G310" s="690"/>
      <c r="H310" s="690"/>
      <c r="I310" s="690"/>
      <c r="J310" s="690"/>
    </row>
    <row r="311" spans="2:10" ht="30">
      <c r="B311" s="263" t="s">
        <v>1013</v>
      </c>
      <c r="C311" s="264" t="s">
        <v>1002</v>
      </c>
      <c r="D311" s="264" t="s">
        <v>1003</v>
      </c>
      <c r="E311" s="265" t="s">
        <v>1004</v>
      </c>
      <c r="F311" s="265" t="s">
        <v>1005</v>
      </c>
      <c r="G311" s="265" t="s">
        <v>1006</v>
      </c>
      <c r="H311" s="265" t="s">
        <v>1007</v>
      </c>
      <c r="I311" s="265" t="s">
        <v>1008</v>
      </c>
      <c r="J311" s="265" t="s">
        <v>1009</v>
      </c>
    </row>
    <row r="312" spans="2:10">
      <c r="B312" s="266"/>
      <c r="C312" s="267"/>
      <c r="D312" s="267"/>
      <c r="E312" s="268"/>
      <c r="F312" s="268"/>
      <c r="G312" s="268"/>
      <c r="H312" s="268"/>
      <c r="I312" s="268"/>
      <c r="J312" s="271"/>
    </row>
    <row r="313" spans="2:10">
      <c r="B313" s="266"/>
      <c r="C313" s="267"/>
      <c r="D313" s="267"/>
      <c r="E313" s="268"/>
      <c r="F313" s="268"/>
      <c r="G313" s="268"/>
      <c r="H313" s="268"/>
      <c r="I313" s="268"/>
      <c r="J313" s="271"/>
    </row>
    <row r="314" spans="2:10">
      <c r="B314" s="266"/>
      <c r="C314" s="267"/>
      <c r="D314" s="267"/>
      <c r="E314" s="268"/>
      <c r="F314" s="268"/>
      <c r="G314" s="268"/>
      <c r="H314" s="268"/>
      <c r="I314" s="268"/>
      <c r="J314" s="271"/>
    </row>
    <row r="315" spans="2:10">
      <c r="B315" s="266"/>
      <c r="C315" s="266"/>
      <c r="D315" s="267"/>
      <c r="E315" s="267"/>
      <c r="F315" s="268"/>
      <c r="G315" s="268"/>
      <c r="H315" s="268"/>
      <c r="I315" s="268"/>
      <c r="J315" s="271"/>
    </row>
    <row r="316" spans="2:10">
      <c r="B316" s="686" t="s">
        <v>1011</v>
      </c>
      <c r="C316" s="687"/>
      <c r="D316" s="687"/>
      <c r="E316" s="687"/>
      <c r="F316" s="687"/>
      <c r="G316" s="687"/>
      <c r="H316" s="687"/>
      <c r="I316" s="688"/>
      <c r="J316" s="270">
        <f>ROUND(SUM(J312:J315),2)</f>
        <v>0</v>
      </c>
    </row>
    <row r="317" spans="2:10">
      <c r="B317" s="262"/>
      <c r="C317" s="262"/>
      <c r="D317" s="262"/>
      <c r="E317" s="262"/>
      <c r="F317" s="262"/>
      <c r="G317" s="262"/>
      <c r="H317" s="262"/>
      <c r="I317" s="262"/>
      <c r="J317" s="262"/>
    </row>
    <row r="318" spans="2:10">
      <c r="B318" s="691" t="s">
        <v>1014</v>
      </c>
      <c r="C318" s="691"/>
      <c r="D318" s="691"/>
      <c r="E318" s="691"/>
      <c r="F318" s="691"/>
      <c r="G318" s="691"/>
      <c r="H318" s="262"/>
      <c r="I318" s="262"/>
      <c r="J318" s="262"/>
    </row>
    <row r="319" spans="2:10">
      <c r="B319" s="692" t="s">
        <v>1015</v>
      </c>
      <c r="C319" s="693"/>
      <c r="D319" s="693"/>
      <c r="E319" s="694"/>
      <c r="F319" s="265" t="s">
        <v>1016</v>
      </c>
      <c r="G319" s="265" t="s">
        <v>1017</v>
      </c>
      <c r="H319" s="262"/>
      <c r="I319" s="262"/>
      <c r="J319" s="262"/>
    </row>
    <row r="320" spans="2:10">
      <c r="B320" s="678" t="s">
        <v>1018</v>
      </c>
      <c r="C320" s="679"/>
      <c r="D320" s="679"/>
      <c r="E320" s="680"/>
      <c r="F320" s="681">
        <f>$J$10</f>
        <v>0.91500000000000004</v>
      </c>
      <c r="G320" s="272">
        <f>J298</f>
        <v>0</v>
      </c>
      <c r="H320" s="262"/>
      <c r="I320" s="262"/>
      <c r="J320" s="262"/>
    </row>
    <row r="321" spans="2:10">
      <c r="B321" s="678" t="s">
        <v>1019</v>
      </c>
      <c r="C321" s="679"/>
      <c r="D321" s="679"/>
      <c r="E321" s="680"/>
      <c r="F321" s="695"/>
      <c r="G321" s="272">
        <f>J309</f>
        <v>350</v>
      </c>
      <c r="H321" s="262"/>
      <c r="I321" s="262"/>
      <c r="J321" s="262"/>
    </row>
    <row r="322" spans="2:10">
      <c r="B322" s="678" t="s">
        <v>1020</v>
      </c>
      <c r="C322" s="679"/>
      <c r="D322" s="679"/>
      <c r="E322" s="680"/>
      <c r="F322" s="695"/>
      <c r="G322" s="272">
        <f>J316</f>
        <v>0</v>
      </c>
      <c r="H322" s="262"/>
      <c r="I322" s="262"/>
      <c r="J322" s="262"/>
    </row>
    <row r="323" spans="2:10">
      <c r="B323" s="678" t="s">
        <v>1021</v>
      </c>
      <c r="C323" s="679"/>
      <c r="D323" s="679"/>
      <c r="E323" s="680"/>
      <c r="F323" s="695"/>
      <c r="G323" s="272">
        <v>1</v>
      </c>
      <c r="H323" s="262"/>
      <c r="I323" s="262"/>
      <c r="J323" s="262"/>
    </row>
    <row r="324" spans="2:10">
      <c r="B324" s="678" t="s">
        <v>1022</v>
      </c>
      <c r="C324" s="679"/>
      <c r="D324" s="679"/>
      <c r="E324" s="680"/>
      <c r="F324" s="695"/>
      <c r="G324" s="272">
        <f>G320+G322</f>
        <v>0</v>
      </c>
      <c r="H324" s="262"/>
      <c r="I324" s="262"/>
      <c r="J324" s="262"/>
    </row>
    <row r="325" spans="2:10">
      <c r="B325" s="678" t="s">
        <v>1023</v>
      </c>
      <c r="C325" s="679"/>
      <c r="D325" s="679"/>
      <c r="E325" s="680"/>
      <c r="F325" s="695"/>
      <c r="G325" s="272">
        <f>G324/G323</f>
        <v>0</v>
      </c>
      <c r="H325" s="262"/>
      <c r="I325" s="262"/>
      <c r="J325" s="262"/>
    </row>
    <row r="326" spans="2:10">
      <c r="B326" s="678" t="s">
        <v>1024</v>
      </c>
      <c r="C326" s="679"/>
      <c r="D326" s="679"/>
      <c r="E326" s="680"/>
      <c r="F326" s="682"/>
      <c r="G326" s="272">
        <f>G321+G325</f>
        <v>350</v>
      </c>
      <c r="H326" s="262"/>
      <c r="I326" s="262"/>
      <c r="J326" s="262"/>
    </row>
    <row r="327" spans="2:10">
      <c r="B327" s="678" t="s">
        <v>1025</v>
      </c>
      <c r="C327" s="679"/>
      <c r="D327" s="679"/>
      <c r="E327" s="680"/>
      <c r="F327" s="681">
        <f>$J$11</f>
        <v>0.14019999999999999</v>
      </c>
      <c r="G327" s="272">
        <f>G326*F327</f>
        <v>49.07</v>
      </c>
      <c r="H327" s="262"/>
      <c r="I327" s="262"/>
      <c r="J327" s="262"/>
    </row>
    <row r="328" spans="2:10">
      <c r="B328" s="683" t="s">
        <v>1026</v>
      </c>
      <c r="C328" s="684"/>
      <c r="D328" s="684"/>
      <c r="E328" s="685"/>
      <c r="F328" s="682"/>
      <c r="G328" s="273">
        <f>ROUND(SUM(G326+G327),2)</f>
        <v>399.07</v>
      </c>
      <c r="H328" s="262"/>
      <c r="I328" s="262"/>
      <c r="J328" s="262"/>
    </row>
    <row r="329" spans="2:10" ht="15.75" thickBot="1"/>
    <row r="330" spans="2:10" ht="15.75" thickBot="1">
      <c r="B330" s="696" t="s">
        <v>990</v>
      </c>
      <c r="C330" s="697"/>
      <c r="D330" s="697"/>
      <c r="E330" s="697"/>
      <c r="F330" s="697"/>
      <c r="G330" s="697"/>
      <c r="H330" s="697"/>
      <c r="I330" s="697"/>
      <c r="J330" s="698"/>
    </row>
    <row r="331" spans="2:10">
      <c r="B331" s="699" t="s">
        <v>7</v>
      </c>
      <c r="C331" s="699"/>
      <c r="D331" s="699"/>
      <c r="E331" s="699"/>
      <c r="F331" s="699"/>
      <c r="G331" s="699"/>
      <c r="H331" s="699"/>
      <c r="I331" s="699"/>
      <c r="J331" s="699"/>
    </row>
    <row r="332" spans="2:10" ht="15.75" thickBot="1">
      <c r="B332" s="699" t="s">
        <v>8</v>
      </c>
      <c r="C332" s="699"/>
      <c r="D332" s="699"/>
      <c r="E332" s="699"/>
      <c r="F332" s="699"/>
      <c r="G332" s="699"/>
      <c r="H332" s="699"/>
      <c r="I332" s="699"/>
      <c r="J332" s="699"/>
    </row>
    <row r="333" spans="2:10">
      <c r="B333" s="700" t="s">
        <v>991</v>
      </c>
      <c r="C333" s="249" t="s">
        <v>992</v>
      </c>
      <c r="D333" s="250">
        <v>6</v>
      </c>
      <c r="E333" s="251" t="s">
        <v>993</v>
      </c>
      <c r="F333" s="252">
        <v>2017</v>
      </c>
      <c r="G333" s="253"/>
      <c r="H333" s="253"/>
      <c r="I333" s="251" t="s">
        <v>994</v>
      </c>
      <c r="J333" s="306" t="s">
        <v>1111</v>
      </c>
    </row>
    <row r="334" spans="2:10">
      <c r="B334" s="701"/>
      <c r="C334" s="255" t="s">
        <v>995</v>
      </c>
      <c r="D334" s="704" t="s">
        <v>1058</v>
      </c>
      <c r="E334" s="704"/>
      <c r="F334" s="256"/>
      <c r="G334" s="256"/>
      <c r="H334" s="256"/>
      <c r="I334" s="256"/>
      <c r="J334" s="257"/>
    </row>
    <row r="335" spans="2:10" ht="15.75">
      <c r="B335" s="701"/>
      <c r="C335" s="255" t="s">
        <v>997</v>
      </c>
      <c r="D335" s="705" t="s">
        <v>685</v>
      </c>
      <c r="E335" s="705"/>
      <c r="F335" s="705"/>
      <c r="G335" s="705"/>
      <c r="H335" s="705"/>
      <c r="I335" s="705"/>
      <c r="J335" s="706"/>
    </row>
    <row r="336" spans="2:10" ht="15.75" thickBot="1">
      <c r="B336" s="702"/>
      <c r="C336" s="258" t="s">
        <v>999</v>
      </c>
      <c r="D336" s="259" t="s">
        <v>543</v>
      </c>
      <c r="E336" s="260"/>
      <c r="F336" s="260"/>
      <c r="G336" s="260"/>
      <c r="H336" s="260"/>
      <c r="I336" s="260"/>
      <c r="J336" s="261"/>
    </row>
    <row r="337" spans="2:10">
      <c r="B337" s="262"/>
      <c r="C337" s="262"/>
      <c r="D337" s="262"/>
      <c r="E337" s="262"/>
      <c r="F337" s="262"/>
      <c r="G337" s="262"/>
      <c r="H337" s="262"/>
      <c r="I337" s="262"/>
      <c r="J337" s="262"/>
    </row>
    <row r="338" spans="2:10" ht="30">
      <c r="B338" s="263" t="s">
        <v>1001</v>
      </c>
      <c r="C338" s="264" t="s">
        <v>1002</v>
      </c>
      <c r="D338" s="264" t="s">
        <v>1003</v>
      </c>
      <c r="E338" s="265" t="s">
        <v>1004</v>
      </c>
      <c r="F338" s="265" t="s">
        <v>1005</v>
      </c>
      <c r="G338" s="265" t="s">
        <v>1006</v>
      </c>
      <c r="H338" s="265" t="s">
        <v>1007</v>
      </c>
      <c r="I338" s="265" t="s">
        <v>1008</v>
      </c>
      <c r="J338" s="265" t="s">
        <v>1009</v>
      </c>
    </row>
    <row r="339" spans="2:10">
      <c r="B339" s="266"/>
      <c r="C339" s="267"/>
      <c r="D339" s="267"/>
      <c r="E339" s="268"/>
      <c r="F339" s="268"/>
      <c r="G339" s="268"/>
      <c r="H339" s="268">
        <v>0</v>
      </c>
      <c r="I339" s="268">
        <f t="shared" ref="I339:I341" si="10">ROUND(G339*(1+$J$10),2)</f>
        <v>0</v>
      </c>
      <c r="J339" s="269">
        <f>I339*E339</f>
        <v>0</v>
      </c>
    </row>
    <row r="340" spans="2:10">
      <c r="B340" s="266"/>
      <c r="C340" s="267"/>
      <c r="D340" s="267"/>
      <c r="E340" s="268"/>
      <c r="F340" s="268"/>
      <c r="G340" s="268"/>
      <c r="H340" s="268">
        <v>0</v>
      </c>
      <c r="I340" s="268">
        <f t="shared" si="10"/>
        <v>0</v>
      </c>
      <c r="J340" s="269">
        <f>I340*E340</f>
        <v>0</v>
      </c>
    </row>
    <row r="341" spans="2:10">
      <c r="B341" s="266"/>
      <c r="C341" s="267"/>
      <c r="D341" s="267"/>
      <c r="E341" s="268"/>
      <c r="F341" s="268"/>
      <c r="G341" s="268"/>
      <c r="H341" s="268">
        <v>0</v>
      </c>
      <c r="I341" s="268">
        <f t="shared" si="10"/>
        <v>0</v>
      </c>
      <c r="J341" s="269">
        <f>I341*E341</f>
        <v>0</v>
      </c>
    </row>
    <row r="342" spans="2:10">
      <c r="B342" s="266"/>
      <c r="C342" s="267"/>
      <c r="D342" s="267"/>
      <c r="E342" s="268"/>
      <c r="F342" s="268"/>
      <c r="G342" s="268"/>
      <c r="H342" s="268"/>
      <c r="I342" s="268"/>
      <c r="J342" s="269"/>
    </row>
    <row r="343" spans="2:10">
      <c r="B343" s="266"/>
      <c r="C343" s="267"/>
      <c r="D343" s="267"/>
      <c r="E343" s="268"/>
      <c r="F343" s="268"/>
      <c r="G343" s="268"/>
      <c r="H343" s="268"/>
      <c r="I343" s="268"/>
      <c r="J343" s="269"/>
    </row>
    <row r="344" spans="2:10">
      <c r="B344" s="266"/>
      <c r="C344" s="266"/>
      <c r="D344" s="267"/>
      <c r="E344" s="267"/>
      <c r="F344" s="268"/>
      <c r="G344" s="268"/>
      <c r="H344" s="268"/>
      <c r="I344" s="268"/>
      <c r="J344" s="269"/>
    </row>
    <row r="345" spans="2:10">
      <c r="B345" s="686" t="s">
        <v>1011</v>
      </c>
      <c r="C345" s="687"/>
      <c r="D345" s="687"/>
      <c r="E345" s="687"/>
      <c r="F345" s="687"/>
      <c r="G345" s="687"/>
      <c r="H345" s="687"/>
      <c r="I345" s="688"/>
      <c r="J345" s="270">
        <f>ROUND(SUM(J339:J344),2)</f>
        <v>0</v>
      </c>
    </row>
    <row r="346" spans="2:10">
      <c r="B346" s="689"/>
      <c r="C346" s="689"/>
      <c r="D346" s="689"/>
      <c r="E346" s="689"/>
      <c r="F346" s="689"/>
      <c r="G346" s="689"/>
      <c r="H346" s="689"/>
      <c r="I346" s="689"/>
      <c r="J346" s="689"/>
    </row>
    <row r="347" spans="2:10" ht="30">
      <c r="B347" s="263" t="s">
        <v>1012</v>
      </c>
      <c r="C347" s="264" t="s">
        <v>1002</v>
      </c>
      <c r="D347" s="264" t="s">
        <v>1003</v>
      </c>
      <c r="E347" s="265" t="s">
        <v>1004</v>
      </c>
      <c r="F347" s="265" t="s">
        <v>1005</v>
      </c>
      <c r="G347" s="265" t="s">
        <v>1006</v>
      </c>
      <c r="H347" s="265" t="s">
        <v>1007</v>
      </c>
      <c r="I347" s="265" t="s">
        <v>1008</v>
      </c>
      <c r="J347" s="265" t="s">
        <v>1009</v>
      </c>
    </row>
    <row r="348" spans="2:10">
      <c r="B348" s="295" t="s">
        <v>685</v>
      </c>
      <c r="C348" s="267" t="s">
        <v>543</v>
      </c>
      <c r="D348" s="267"/>
      <c r="E348" s="268">
        <v>1</v>
      </c>
      <c r="F348" s="268">
        <v>1</v>
      </c>
      <c r="G348" s="268">
        <v>25</v>
      </c>
      <c r="H348" s="268"/>
      <c r="I348" s="268">
        <f>G348</f>
        <v>25</v>
      </c>
      <c r="J348" s="269">
        <f>I348*E348</f>
        <v>25</v>
      </c>
    </row>
    <row r="349" spans="2:10">
      <c r="B349" s="266"/>
      <c r="C349" s="267"/>
      <c r="D349" s="267"/>
      <c r="E349" s="268"/>
      <c r="F349" s="268"/>
      <c r="G349" s="268"/>
      <c r="H349" s="268"/>
      <c r="I349" s="268">
        <f>G349</f>
        <v>0</v>
      </c>
      <c r="J349" s="269">
        <f>I349*E349</f>
        <v>0</v>
      </c>
    </row>
    <row r="350" spans="2:10">
      <c r="B350" s="266"/>
      <c r="C350" s="267"/>
      <c r="D350" s="267"/>
      <c r="E350" s="268"/>
      <c r="F350" s="268"/>
      <c r="G350" s="268"/>
      <c r="H350" s="268"/>
      <c r="I350" s="268"/>
      <c r="J350" s="269"/>
    </row>
    <row r="351" spans="2:10">
      <c r="B351" s="266"/>
      <c r="C351" s="267"/>
      <c r="D351" s="267"/>
      <c r="E351" s="268"/>
      <c r="F351" s="268"/>
      <c r="G351" s="268"/>
      <c r="H351" s="268"/>
      <c r="I351" s="268"/>
      <c r="J351" s="269"/>
    </row>
    <row r="352" spans="2:10">
      <c r="B352" s="266"/>
      <c r="C352" s="266"/>
      <c r="D352" s="267"/>
      <c r="E352" s="267"/>
      <c r="F352" s="268"/>
      <c r="G352" s="268"/>
      <c r="H352" s="268"/>
      <c r="I352" s="268"/>
      <c r="J352" s="269"/>
    </row>
    <row r="353" spans="2:10">
      <c r="B353" s="266"/>
      <c r="C353" s="266"/>
      <c r="D353" s="267"/>
      <c r="E353" s="267"/>
      <c r="F353" s="268"/>
      <c r="G353" s="268"/>
      <c r="H353" s="268"/>
      <c r="I353" s="268"/>
      <c r="J353" s="269"/>
    </row>
    <row r="354" spans="2:10">
      <c r="B354" s="266"/>
      <c r="C354" s="266"/>
      <c r="D354" s="267"/>
      <c r="E354" s="267"/>
      <c r="F354" s="268"/>
      <c r="G354" s="268"/>
      <c r="H354" s="268"/>
      <c r="I354" s="268"/>
      <c r="J354" s="269"/>
    </row>
    <row r="355" spans="2:10">
      <c r="B355" s="266"/>
      <c r="C355" s="266"/>
      <c r="D355" s="267"/>
      <c r="E355" s="267"/>
      <c r="F355" s="268"/>
      <c r="G355" s="268"/>
      <c r="H355" s="268"/>
      <c r="I355" s="268"/>
      <c r="J355" s="269"/>
    </row>
    <row r="356" spans="2:10">
      <c r="B356" s="266"/>
      <c r="C356" s="266"/>
      <c r="D356" s="267"/>
      <c r="E356" s="267"/>
      <c r="F356" s="268"/>
      <c r="G356" s="268"/>
      <c r="H356" s="268"/>
      <c r="I356" s="268"/>
      <c r="J356" s="269"/>
    </row>
    <row r="357" spans="2:10">
      <c r="B357" s="266"/>
      <c r="C357" s="266"/>
      <c r="D357" s="267"/>
      <c r="E357" s="267"/>
      <c r="F357" s="268"/>
      <c r="G357" s="268"/>
      <c r="H357" s="268"/>
      <c r="I357" s="268"/>
      <c r="J357" s="269"/>
    </row>
    <row r="358" spans="2:10">
      <c r="B358" s="266"/>
      <c r="C358" s="266"/>
      <c r="D358" s="267"/>
      <c r="E358" s="267"/>
      <c r="F358" s="268"/>
      <c r="G358" s="268"/>
      <c r="H358" s="268"/>
      <c r="I358" s="268"/>
      <c r="J358" s="269"/>
    </row>
    <row r="359" spans="2:10">
      <c r="B359" s="266"/>
      <c r="C359" s="266"/>
      <c r="D359" s="267"/>
      <c r="E359" s="267"/>
      <c r="F359" s="268"/>
      <c r="G359" s="268"/>
      <c r="H359" s="268"/>
      <c r="I359" s="268"/>
      <c r="J359" s="269"/>
    </row>
    <row r="360" spans="2:10">
      <c r="B360" s="266"/>
      <c r="C360" s="266"/>
      <c r="D360" s="267"/>
      <c r="E360" s="267"/>
      <c r="F360" s="268"/>
      <c r="G360" s="268"/>
      <c r="H360" s="268"/>
      <c r="I360" s="268"/>
      <c r="J360" s="269"/>
    </row>
    <row r="361" spans="2:10">
      <c r="B361" s="266"/>
      <c r="C361" s="266"/>
      <c r="D361" s="267"/>
      <c r="E361" s="267"/>
      <c r="F361" s="268"/>
      <c r="G361" s="268"/>
      <c r="H361" s="268"/>
      <c r="I361" s="268"/>
      <c r="J361" s="269"/>
    </row>
    <row r="362" spans="2:10">
      <c r="B362" s="266"/>
      <c r="C362" s="266"/>
      <c r="D362" s="267"/>
      <c r="E362" s="267"/>
      <c r="F362" s="268"/>
      <c r="G362" s="268"/>
      <c r="H362" s="268"/>
      <c r="I362" s="268"/>
      <c r="J362" s="269"/>
    </row>
    <row r="363" spans="2:10">
      <c r="B363" s="266"/>
      <c r="C363" s="266"/>
      <c r="D363" s="267"/>
      <c r="E363" s="267"/>
      <c r="F363" s="268"/>
      <c r="G363" s="268"/>
      <c r="H363" s="268"/>
      <c r="I363" s="268"/>
      <c r="J363" s="269"/>
    </row>
    <row r="364" spans="2:10">
      <c r="B364" s="266"/>
      <c r="C364" s="266"/>
      <c r="D364" s="267"/>
      <c r="E364" s="267"/>
      <c r="F364" s="268"/>
      <c r="G364" s="268"/>
      <c r="H364" s="268"/>
      <c r="I364" s="268"/>
      <c r="J364" s="269"/>
    </row>
    <row r="365" spans="2:10">
      <c r="B365" s="266"/>
      <c r="C365" s="266"/>
      <c r="D365" s="267"/>
      <c r="E365" s="267"/>
      <c r="F365" s="268"/>
      <c r="G365" s="268"/>
      <c r="H365" s="268"/>
      <c r="I365" s="268"/>
      <c r="J365" s="269"/>
    </row>
    <row r="366" spans="2:10">
      <c r="B366" s="686" t="s">
        <v>1011</v>
      </c>
      <c r="C366" s="687"/>
      <c r="D366" s="687"/>
      <c r="E366" s="687"/>
      <c r="F366" s="687"/>
      <c r="G366" s="687"/>
      <c r="H366" s="687"/>
      <c r="I366" s="688"/>
      <c r="J366" s="270">
        <f>ROUND(SUM(J348:J365),2)</f>
        <v>25</v>
      </c>
    </row>
    <row r="367" spans="2:10">
      <c r="B367" s="690"/>
      <c r="C367" s="690"/>
      <c r="D367" s="690"/>
      <c r="E367" s="690"/>
      <c r="F367" s="690"/>
      <c r="G367" s="690"/>
      <c r="H367" s="690"/>
      <c r="I367" s="690"/>
      <c r="J367" s="690"/>
    </row>
    <row r="368" spans="2:10" ht="30">
      <c r="B368" s="263" t="s">
        <v>1013</v>
      </c>
      <c r="C368" s="264" t="s">
        <v>1002</v>
      </c>
      <c r="D368" s="264" t="s">
        <v>1003</v>
      </c>
      <c r="E368" s="265" t="s">
        <v>1004</v>
      </c>
      <c r="F368" s="265" t="s">
        <v>1005</v>
      </c>
      <c r="G368" s="265" t="s">
        <v>1006</v>
      </c>
      <c r="H368" s="265" t="s">
        <v>1007</v>
      </c>
      <c r="I368" s="265" t="s">
        <v>1008</v>
      </c>
      <c r="J368" s="265" t="s">
        <v>1009</v>
      </c>
    </row>
    <row r="369" spans="2:10">
      <c r="B369" s="266"/>
      <c r="C369" s="267"/>
      <c r="D369" s="267"/>
      <c r="E369" s="268"/>
      <c r="F369" s="268"/>
      <c r="G369" s="268"/>
      <c r="H369" s="268"/>
      <c r="I369" s="268"/>
      <c r="J369" s="271"/>
    </row>
    <row r="370" spans="2:10">
      <c r="B370" s="266"/>
      <c r="C370" s="267"/>
      <c r="D370" s="267"/>
      <c r="E370" s="268"/>
      <c r="F370" s="268"/>
      <c r="G370" s="268"/>
      <c r="H370" s="268"/>
      <c r="I370" s="268"/>
      <c r="J370" s="271"/>
    </row>
    <row r="371" spans="2:10">
      <c r="B371" s="266"/>
      <c r="C371" s="267"/>
      <c r="D371" s="267"/>
      <c r="E371" s="268"/>
      <c r="F371" s="268"/>
      <c r="G371" s="268"/>
      <c r="H371" s="268"/>
      <c r="I371" s="268"/>
      <c r="J371" s="271"/>
    </row>
    <row r="372" spans="2:10">
      <c r="B372" s="266"/>
      <c r="C372" s="267"/>
      <c r="D372" s="267"/>
      <c r="E372" s="268"/>
      <c r="F372" s="268"/>
      <c r="G372" s="268"/>
      <c r="H372" s="268"/>
      <c r="I372" s="268"/>
      <c r="J372" s="271"/>
    </row>
    <row r="373" spans="2:10">
      <c r="B373" s="266"/>
      <c r="C373" s="266"/>
      <c r="D373" s="267"/>
      <c r="E373" s="267"/>
      <c r="F373" s="268"/>
      <c r="G373" s="268"/>
      <c r="H373" s="268"/>
      <c r="I373" s="268"/>
      <c r="J373" s="271"/>
    </row>
    <row r="374" spans="2:10">
      <c r="B374" s="686" t="s">
        <v>1011</v>
      </c>
      <c r="C374" s="687"/>
      <c r="D374" s="687"/>
      <c r="E374" s="687"/>
      <c r="F374" s="687"/>
      <c r="G374" s="687"/>
      <c r="H374" s="687"/>
      <c r="I374" s="688"/>
      <c r="J374" s="270">
        <f>ROUND(SUM(J369:J373),2)</f>
        <v>0</v>
      </c>
    </row>
    <row r="375" spans="2:10">
      <c r="B375" s="262"/>
      <c r="C375" s="262"/>
      <c r="D375" s="262"/>
      <c r="E375" s="262"/>
      <c r="F375" s="262"/>
      <c r="G375" s="262"/>
      <c r="H375" s="262"/>
      <c r="I375" s="262"/>
      <c r="J375" s="262"/>
    </row>
    <row r="376" spans="2:10">
      <c r="B376" s="691" t="s">
        <v>1014</v>
      </c>
      <c r="C376" s="691"/>
      <c r="D376" s="691"/>
      <c r="E376" s="691"/>
      <c r="F376" s="691"/>
      <c r="G376" s="691"/>
      <c r="H376" s="262"/>
      <c r="I376" s="262"/>
      <c r="J376" s="262"/>
    </row>
    <row r="377" spans="2:10">
      <c r="B377" s="692" t="s">
        <v>1015</v>
      </c>
      <c r="C377" s="693"/>
      <c r="D377" s="693"/>
      <c r="E377" s="694"/>
      <c r="F377" s="265" t="s">
        <v>1016</v>
      </c>
      <c r="G377" s="265" t="s">
        <v>1017</v>
      </c>
      <c r="H377" s="262"/>
      <c r="I377" s="262"/>
      <c r="J377" s="262"/>
    </row>
    <row r="378" spans="2:10">
      <c r="B378" s="678" t="s">
        <v>1018</v>
      </c>
      <c r="C378" s="679"/>
      <c r="D378" s="679"/>
      <c r="E378" s="680"/>
      <c r="F378" s="681">
        <f>$J$10</f>
        <v>0.91500000000000004</v>
      </c>
      <c r="G378" s="272">
        <f>J345</f>
        <v>0</v>
      </c>
      <c r="H378" s="262"/>
      <c r="I378" s="262"/>
      <c r="J378" s="262"/>
    </row>
    <row r="379" spans="2:10">
      <c r="B379" s="678" t="s">
        <v>1019</v>
      </c>
      <c r="C379" s="679"/>
      <c r="D379" s="679"/>
      <c r="E379" s="680"/>
      <c r="F379" s="695"/>
      <c r="G379" s="272">
        <f>J366</f>
        <v>25</v>
      </c>
      <c r="H379" s="262"/>
      <c r="I379" s="262"/>
      <c r="J379" s="262"/>
    </row>
    <row r="380" spans="2:10">
      <c r="B380" s="678" t="s">
        <v>1020</v>
      </c>
      <c r="C380" s="679"/>
      <c r="D380" s="679"/>
      <c r="E380" s="680"/>
      <c r="F380" s="695"/>
      <c r="G380" s="272">
        <f>J374</f>
        <v>0</v>
      </c>
      <c r="H380" s="262"/>
      <c r="I380" s="262"/>
      <c r="J380" s="262"/>
    </row>
    <row r="381" spans="2:10">
      <c r="B381" s="678" t="s">
        <v>1021</v>
      </c>
      <c r="C381" s="679"/>
      <c r="D381" s="679"/>
      <c r="E381" s="680"/>
      <c r="F381" s="695"/>
      <c r="G381" s="272">
        <v>1</v>
      </c>
      <c r="H381" s="262"/>
      <c r="I381" s="262"/>
      <c r="J381" s="262"/>
    </row>
    <row r="382" spans="2:10">
      <c r="B382" s="678" t="s">
        <v>1022</v>
      </c>
      <c r="C382" s="679"/>
      <c r="D382" s="679"/>
      <c r="E382" s="680"/>
      <c r="F382" s="695"/>
      <c r="G382" s="272">
        <f>G378+G380</f>
        <v>0</v>
      </c>
      <c r="H382" s="262"/>
      <c r="I382" s="262"/>
      <c r="J382" s="262"/>
    </row>
    <row r="383" spans="2:10">
      <c r="B383" s="678" t="s">
        <v>1023</v>
      </c>
      <c r="C383" s="679"/>
      <c r="D383" s="679"/>
      <c r="E383" s="680"/>
      <c r="F383" s="695"/>
      <c r="G383" s="272">
        <f>G382/G381</f>
        <v>0</v>
      </c>
      <c r="H383" s="262"/>
      <c r="I383" s="262"/>
      <c r="J383" s="262"/>
    </row>
    <row r="384" spans="2:10">
      <c r="B384" s="678" t="s">
        <v>1024</v>
      </c>
      <c r="C384" s="679"/>
      <c r="D384" s="679"/>
      <c r="E384" s="680"/>
      <c r="F384" s="682"/>
      <c r="G384" s="272">
        <f>G379+G383</f>
        <v>25</v>
      </c>
      <c r="H384" s="262"/>
      <c r="I384" s="262"/>
      <c r="J384" s="262"/>
    </row>
    <row r="385" spans="2:10">
      <c r="B385" s="678" t="s">
        <v>1025</v>
      </c>
      <c r="C385" s="679"/>
      <c r="D385" s="679"/>
      <c r="E385" s="680"/>
      <c r="F385" s="681">
        <f>$J$11</f>
        <v>0.14019999999999999</v>
      </c>
      <c r="G385" s="272">
        <f>G384*F385</f>
        <v>3.5049999999999999</v>
      </c>
      <c r="H385" s="262"/>
      <c r="I385" s="262"/>
      <c r="J385" s="262"/>
    </row>
    <row r="386" spans="2:10">
      <c r="B386" s="683" t="s">
        <v>1026</v>
      </c>
      <c r="C386" s="684"/>
      <c r="D386" s="684"/>
      <c r="E386" s="685"/>
      <c r="F386" s="682"/>
      <c r="G386" s="273">
        <f>ROUND(SUM(G384+G385),2)</f>
        <v>28.51</v>
      </c>
      <c r="H386" s="262"/>
      <c r="I386" s="262"/>
      <c r="J386" s="262"/>
    </row>
    <row r="387" spans="2:10" ht="15.75" thickBot="1"/>
    <row r="388" spans="2:10" ht="15.75" thickBot="1">
      <c r="B388" s="696" t="s">
        <v>990</v>
      </c>
      <c r="C388" s="697"/>
      <c r="D388" s="697"/>
      <c r="E388" s="697"/>
      <c r="F388" s="697"/>
      <c r="G388" s="697"/>
      <c r="H388" s="697"/>
      <c r="I388" s="697"/>
      <c r="J388" s="698"/>
    </row>
    <row r="389" spans="2:10">
      <c r="B389" s="699" t="s">
        <v>7</v>
      </c>
      <c r="C389" s="699"/>
      <c r="D389" s="699"/>
      <c r="E389" s="699"/>
      <c r="F389" s="699"/>
      <c r="G389" s="699"/>
      <c r="H389" s="699"/>
      <c r="I389" s="699"/>
      <c r="J389" s="699"/>
    </row>
    <row r="390" spans="2:10" ht="15.75" thickBot="1">
      <c r="B390" s="699" t="s">
        <v>8</v>
      </c>
      <c r="C390" s="699"/>
      <c r="D390" s="699"/>
      <c r="E390" s="699"/>
      <c r="F390" s="699"/>
      <c r="G390" s="699"/>
      <c r="H390" s="699"/>
      <c r="I390" s="699"/>
      <c r="J390" s="699"/>
    </row>
    <row r="391" spans="2:10">
      <c r="B391" s="700" t="s">
        <v>991</v>
      </c>
      <c r="C391" s="249" t="s">
        <v>992</v>
      </c>
      <c r="D391" s="250">
        <v>6</v>
      </c>
      <c r="E391" s="251" t="s">
        <v>993</v>
      </c>
      <c r="F391" s="252">
        <v>2017</v>
      </c>
      <c r="G391" s="253"/>
      <c r="H391" s="253"/>
      <c r="I391" s="251" t="s">
        <v>994</v>
      </c>
      <c r="J391" s="306" t="s">
        <v>593</v>
      </c>
    </row>
    <row r="392" spans="2:10">
      <c r="B392" s="701"/>
      <c r="C392" s="255" t="s">
        <v>995</v>
      </c>
      <c r="D392" s="703" t="s">
        <v>1059</v>
      </c>
      <c r="E392" s="704"/>
      <c r="F392" s="256"/>
      <c r="G392" s="256"/>
      <c r="H392" s="256"/>
      <c r="I392" s="256"/>
      <c r="J392" s="257"/>
    </row>
    <row r="393" spans="2:10" ht="32.25" customHeight="1">
      <c r="B393" s="701"/>
      <c r="C393" s="255" t="s">
        <v>997</v>
      </c>
      <c r="D393" s="705" t="s">
        <v>1068</v>
      </c>
      <c r="E393" s="705"/>
      <c r="F393" s="705"/>
      <c r="G393" s="705"/>
      <c r="H393" s="705"/>
      <c r="I393" s="705"/>
      <c r="J393" s="706"/>
    </row>
    <row r="394" spans="2:10" ht="15.75" thickBot="1">
      <c r="B394" s="702"/>
      <c r="C394" s="258" t="s">
        <v>999</v>
      </c>
      <c r="D394" s="259" t="s">
        <v>543</v>
      </c>
      <c r="E394" s="260"/>
      <c r="F394" s="260"/>
      <c r="G394" s="260"/>
      <c r="H394" s="260"/>
      <c r="I394" s="260"/>
      <c r="J394" s="261"/>
    </row>
    <row r="395" spans="2:10">
      <c r="B395" s="262"/>
      <c r="C395" s="262"/>
      <c r="D395" s="262"/>
      <c r="E395" s="262"/>
      <c r="F395" s="262"/>
      <c r="G395" s="262"/>
      <c r="H395" s="262"/>
      <c r="I395" s="262"/>
      <c r="J395" s="262"/>
    </row>
    <row r="396" spans="2:10" ht="30">
      <c r="B396" s="263" t="s">
        <v>1001</v>
      </c>
      <c r="C396" s="264" t="s">
        <v>1002</v>
      </c>
      <c r="D396" s="264" t="s">
        <v>1003</v>
      </c>
      <c r="E396" s="265" t="s">
        <v>1004</v>
      </c>
      <c r="F396" s="265" t="s">
        <v>1005</v>
      </c>
      <c r="G396" s="265" t="s">
        <v>1006</v>
      </c>
      <c r="H396" s="265" t="s">
        <v>1007</v>
      </c>
      <c r="I396" s="265" t="s">
        <v>1008</v>
      </c>
      <c r="J396" s="265" t="s">
        <v>1009</v>
      </c>
    </row>
    <row r="397" spans="2:10">
      <c r="B397" s="295" t="s">
        <v>1103</v>
      </c>
      <c r="C397" s="267" t="s">
        <v>897</v>
      </c>
      <c r="D397" s="267">
        <v>88315</v>
      </c>
      <c r="E397" s="268">
        <v>0.23</v>
      </c>
      <c r="F397" s="268">
        <v>1</v>
      </c>
      <c r="G397" s="302">
        <f>(17.74/1.915)</f>
        <v>9.2637075718015662</v>
      </c>
      <c r="H397" s="268">
        <v>0</v>
      </c>
      <c r="I397" s="268">
        <f t="shared" ref="I397:I399" si="11">ROUND(G397*(1+$J$10),2)</f>
        <v>17.739999999999998</v>
      </c>
      <c r="J397" s="269">
        <f>I397*E397</f>
        <v>4.0801999999999996</v>
      </c>
    </row>
    <row r="398" spans="2:10">
      <c r="B398" s="295" t="s">
        <v>1102</v>
      </c>
      <c r="C398" s="267" t="s">
        <v>897</v>
      </c>
      <c r="D398" s="267">
        <v>88316</v>
      </c>
      <c r="E398" s="268">
        <v>0.23</v>
      </c>
      <c r="F398" s="268">
        <v>1</v>
      </c>
      <c r="G398" s="268">
        <v>7.16</v>
      </c>
      <c r="H398" s="268">
        <v>0</v>
      </c>
      <c r="I398" s="268">
        <f t="shared" si="11"/>
        <v>13.71</v>
      </c>
      <c r="J398" s="269">
        <f>I398*E398</f>
        <v>3.1533000000000002</v>
      </c>
    </row>
    <row r="399" spans="2:10">
      <c r="B399" s="266"/>
      <c r="C399" s="267"/>
      <c r="D399" s="267"/>
      <c r="E399" s="268"/>
      <c r="F399" s="268"/>
      <c r="G399" s="268"/>
      <c r="H399" s="268">
        <v>0</v>
      </c>
      <c r="I399" s="268">
        <f t="shared" si="11"/>
        <v>0</v>
      </c>
      <c r="J399" s="269">
        <f>I399*E399</f>
        <v>0</v>
      </c>
    </row>
    <row r="400" spans="2:10">
      <c r="B400" s="266"/>
      <c r="C400" s="267"/>
      <c r="D400" s="267"/>
      <c r="E400" s="268"/>
      <c r="F400" s="268"/>
      <c r="G400" s="268"/>
      <c r="H400" s="268"/>
      <c r="I400" s="268"/>
      <c r="J400" s="269"/>
    </row>
    <row r="401" spans="2:10">
      <c r="B401" s="266"/>
      <c r="C401" s="267"/>
      <c r="D401" s="267"/>
      <c r="E401" s="268"/>
      <c r="F401" s="268"/>
      <c r="G401" s="268"/>
      <c r="H401" s="268"/>
      <c r="I401" s="268"/>
      <c r="J401" s="269"/>
    </row>
    <row r="402" spans="2:10">
      <c r="B402" s="266"/>
      <c r="C402" s="266"/>
      <c r="D402" s="267"/>
      <c r="E402" s="267"/>
      <c r="F402" s="268"/>
      <c r="G402" s="268"/>
      <c r="H402" s="268"/>
      <c r="I402" s="268"/>
      <c r="J402" s="269"/>
    </row>
    <row r="403" spans="2:10">
      <c r="B403" s="686" t="s">
        <v>1011</v>
      </c>
      <c r="C403" s="687"/>
      <c r="D403" s="687"/>
      <c r="E403" s="687"/>
      <c r="F403" s="687"/>
      <c r="G403" s="687"/>
      <c r="H403" s="687"/>
      <c r="I403" s="688"/>
      <c r="J403" s="270">
        <f>ROUND(SUM(J397:J402),2)</f>
        <v>7.23</v>
      </c>
    </row>
    <row r="404" spans="2:10">
      <c r="B404" s="689"/>
      <c r="C404" s="689"/>
      <c r="D404" s="689"/>
      <c r="E404" s="689"/>
      <c r="F404" s="689"/>
      <c r="G404" s="689"/>
      <c r="H404" s="689"/>
      <c r="I404" s="689"/>
      <c r="J404" s="689"/>
    </row>
    <row r="405" spans="2:10" ht="30">
      <c r="B405" s="263" t="s">
        <v>1012</v>
      </c>
      <c r="C405" s="264" t="s">
        <v>1002</v>
      </c>
      <c r="D405" s="264" t="s">
        <v>1072</v>
      </c>
      <c r="E405" s="265" t="s">
        <v>1004</v>
      </c>
      <c r="F405" s="265" t="s">
        <v>1005</v>
      </c>
      <c r="G405" s="265" t="s">
        <v>1006</v>
      </c>
      <c r="H405" s="265" t="s">
        <v>1007</v>
      </c>
      <c r="I405" s="265" t="s">
        <v>1008</v>
      </c>
      <c r="J405" s="265" t="s">
        <v>1009</v>
      </c>
    </row>
    <row r="406" spans="2:10">
      <c r="B406" s="295" t="s">
        <v>1070</v>
      </c>
      <c r="C406" s="296" t="s">
        <v>594</v>
      </c>
      <c r="D406" s="267">
        <v>4774</v>
      </c>
      <c r="E406" s="268">
        <v>1.05</v>
      </c>
      <c r="F406" s="268">
        <v>1</v>
      </c>
      <c r="G406" s="268">
        <v>5.95</v>
      </c>
      <c r="H406" s="268"/>
      <c r="I406" s="268">
        <f>G406</f>
        <v>5.95</v>
      </c>
      <c r="J406" s="269">
        <f>I406*E406</f>
        <v>6.2475000000000005</v>
      </c>
    </row>
    <row r="407" spans="2:10" ht="30">
      <c r="B407" s="295" t="s">
        <v>899</v>
      </c>
      <c r="C407" s="296" t="s">
        <v>698</v>
      </c>
      <c r="D407" s="267">
        <v>6391</v>
      </c>
      <c r="E407" s="268">
        <v>6.0000000000000001E-3</v>
      </c>
      <c r="F407" s="268">
        <v>1</v>
      </c>
      <c r="G407" s="268">
        <v>120.07</v>
      </c>
      <c r="H407" s="268"/>
      <c r="I407" s="268">
        <f>G407</f>
        <v>120.07</v>
      </c>
      <c r="J407" s="269">
        <f>I407*E407</f>
        <v>0.72041999999999995</v>
      </c>
    </row>
    <row r="408" spans="2:10">
      <c r="B408" s="295" t="s">
        <v>906</v>
      </c>
      <c r="C408" s="296" t="s">
        <v>610</v>
      </c>
      <c r="D408" s="267">
        <v>73656</v>
      </c>
      <c r="E408" s="268">
        <v>8.6999999999999994E-2</v>
      </c>
      <c r="F408" s="268">
        <v>1</v>
      </c>
      <c r="G408" s="268">
        <v>13.59</v>
      </c>
      <c r="H408" s="268"/>
      <c r="I408" s="268">
        <f t="shared" ref="I408:I410" si="12">G408</f>
        <v>13.59</v>
      </c>
      <c r="J408" s="269">
        <f t="shared" ref="J408:J410" si="13">I408*E408</f>
        <v>1.1823299999999999</v>
      </c>
    </row>
    <row r="409" spans="2:10" ht="45">
      <c r="B409" s="295" t="s">
        <v>1071</v>
      </c>
      <c r="C409" s="296" t="s">
        <v>610</v>
      </c>
      <c r="D409" s="296" t="s">
        <v>913</v>
      </c>
      <c r="E409" s="268">
        <v>8.6999999999999994E-2</v>
      </c>
      <c r="F409" s="268">
        <v>1</v>
      </c>
      <c r="G409" s="268">
        <v>7.56</v>
      </c>
      <c r="H409" s="268"/>
      <c r="I409" s="268">
        <f t="shared" si="12"/>
        <v>7.56</v>
      </c>
      <c r="J409" s="269">
        <f t="shared" si="13"/>
        <v>0.65771999999999997</v>
      </c>
    </row>
    <row r="410" spans="2:10">
      <c r="B410" s="295" t="s">
        <v>919</v>
      </c>
      <c r="C410" s="296" t="s">
        <v>610</v>
      </c>
      <c r="D410" s="267">
        <v>79466</v>
      </c>
      <c r="E410" s="267">
        <v>8.6999999999999994E-2</v>
      </c>
      <c r="F410" s="268">
        <v>1</v>
      </c>
      <c r="G410" s="268">
        <v>15.19</v>
      </c>
      <c r="H410" s="268"/>
      <c r="I410" s="268">
        <f t="shared" si="12"/>
        <v>15.19</v>
      </c>
      <c r="J410" s="269">
        <f t="shared" si="13"/>
        <v>1.3215299999999999</v>
      </c>
    </row>
    <row r="411" spans="2:10">
      <c r="B411" s="266"/>
      <c r="C411" s="266"/>
      <c r="D411" s="267"/>
      <c r="E411" s="267"/>
      <c r="F411" s="268"/>
      <c r="G411" s="268"/>
      <c r="H411" s="268"/>
      <c r="I411" s="268"/>
      <c r="J411" s="269"/>
    </row>
    <row r="412" spans="2:10">
      <c r="B412" s="266"/>
      <c r="C412" s="266"/>
      <c r="D412" s="267"/>
      <c r="E412" s="267"/>
      <c r="F412" s="268"/>
      <c r="G412" s="268"/>
      <c r="H412" s="268"/>
      <c r="I412" s="268"/>
      <c r="J412" s="269"/>
    </row>
    <row r="413" spans="2:10">
      <c r="B413" s="266"/>
      <c r="C413" s="266"/>
      <c r="D413" s="267"/>
      <c r="E413" s="267"/>
      <c r="F413" s="268"/>
      <c r="G413" s="268"/>
      <c r="H413" s="268"/>
      <c r="I413" s="268"/>
      <c r="J413" s="269"/>
    </row>
    <row r="414" spans="2:10">
      <c r="B414" s="266"/>
      <c r="C414" s="266"/>
      <c r="D414" s="267"/>
      <c r="E414" s="267"/>
      <c r="F414" s="268"/>
      <c r="G414" s="268"/>
      <c r="H414" s="268"/>
      <c r="I414" s="268"/>
      <c r="J414" s="269"/>
    </row>
    <row r="415" spans="2:10">
      <c r="B415" s="266"/>
      <c r="C415" s="266"/>
      <c r="D415" s="267"/>
      <c r="E415" s="267"/>
      <c r="F415" s="268"/>
      <c r="G415" s="268"/>
      <c r="H415" s="268"/>
      <c r="I415" s="268"/>
      <c r="J415" s="269"/>
    </row>
    <row r="416" spans="2:10">
      <c r="B416" s="266"/>
      <c r="C416" s="266"/>
      <c r="D416" s="267"/>
      <c r="E416" s="267"/>
      <c r="F416" s="268"/>
      <c r="G416" s="268"/>
      <c r="H416" s="268"/>
      <c r="I416" s="268"/>
      <c r="J416" s="269"/>
    </row>
    <row r="417" spans="2:10">
      <c r="B417" s="266"/>
      <c r="C417" s="266"/>
      <c r="D417" s="267"/>
      <c r="E417" s="267"/>
      <c r="F417" s="268"/>
      <c r="G417" s="268"/>
      <c r="H417" s="268"/>
      <c r="I417" s="268"/>
      <c r="J417" s="269"/>
    </row>
    <row r="418" spans="2:10">
      <c r="B418" s="266"/>
      <c r="C418" s="266"/>
      <c r="D418" s="267"/>
      <c r="E418" s="267"/>
      <c r="F418" s="268"/>
      <c r="G418" s="268"/>
      <c r="H418" s="268"/>
      <c r="I418" s="268"/>
      <c r="J418" s="269"/>
    </row>
    <row r="419" spans="2:10">
      <c r="B419" s="686" t="s">
        <v>1011</v>
      </c>
      <c r="C419" s="687"/>
      <c r="D419" s="687"/>
      <c r="E419" s="687"/>
      <c r="F419" s="687"/>
      <c r="G419" s="687"/>
      <c r="H419" s="687"/>
      <c r="I419" s="688"/>
      <c r="J419" s="270">
        <f>ROUND(SUM(J406:J418),2)</f>
        <v>10.130000000000001</v>
      </c>
    </row>
    <row r="420" spans="2:10">
      <c r="B420" s="690"/>
      <c r="C420" s="690"/>
      <c r="D420" s="690"/>
      <c r="E420" s="690"/>
      <c r="F420" s="690"/>
      <c r="G420" s="690"/>
      <c r="H420" s="690"/>
      <c r="I420" s="690"/>
      <c r="J420" s="690"/>
    </row>
    <row r="421" spans="2:10" ht="30">
      <c r="B421" s="263" t="s">
        <v>1013</v>
      </c>
      <c r="C421" s="264" t="s">
        <v>1002</v>
      </c>
      <c r="D421" s="264" t="s">
        <v>1003</v>
      </c>
      <c r="E421" s="265" t="s">
        <v>1004</v>
      </c>
      <c r="F421" s="265" t="s">
        <v>1005</v>
      </c>
      <c r="G421" s="265" t="s">
        <v>1006</v>
      </c>
      <c r="H421" s="265" t="s">
        <v>1007</v>
      </c>
      <c r="I421" s="265" t="s">
        <v>1008</v>
      </c>
      <c r="J421" s="265" t="s">
        <v>1009</v>
      </c>
    </row>
    <row r="422" spans="2:10">
      <c r="B422" s="266"/>
      <c r="C422" s="267"/>
      <c r="D422" s="267"/>
      <c r="E422" s="268"/>
      <c r="F422" s="268"/>
      <c r="G422" s="268"/>
      <c r="H422" s="268"/>
      <c r="I422" s="268"/>
      <c r="J422" s="271"/>
    </row>
    <row r="423" spans="2:10">
      <c r="B423" s="266"/>
      <c r="C423" s="267"/>
      <c r="D423" s="267"/>
      <c r="E423" s="268"/>
      <c r="F423" s="268"/>
      <c r="G423" s="268"/>
      <c r="H423" s="268"/>
      <c r="I423" s="268"/>
      <c r="J423" s="271"/>
    </row>
    <row r="424" spans="2:10">
      <c r="B424" s="266"/>
      <c r="C424" s="267"/>
      <c r="D424" s="267"/>
      <c r="E424" s="268"/>
      <c r="F424" s="268"/>
      <c r="G424" s="268"/>
      <c r="H424" s="268"/>
      <c r="I424" s="268"/>
      <c r="J424" s="271"/>
    </row>
    <row r="425" spans="2:10">
      <c r="B425" s="266"/>
      <c r="C425" s="267"/>
      <c r="D425" s="267"/>
      <c r="E425" s="268"/>
      <c r="F425" s="268"/>
      <c r="G425" s="268"/>
      <c r="H425" s="268"/>
      <c r="I425" s="268"/>
      <c r="J425" s="271"/>
    </row>
    <row r="426" spans="2:10">
      <c r="B426" s="266"/>
      <c r="C426" s="266"/>
      <c r="D426" s="267"/>
      <c r="E426" s="267"/>
      <c r="F426" s="268"/>
      <c r="G426" s="268"/>
      <c r="H426" s="268"/>
      <c r="I426" s="268"/>
      <c r="J426" s="271"/>
    </row>
    <row r="427" spans="2:10">
      <c r="B427" s="686" t="s">
        <v>1011</v>
      </c>
      <c r="C427" s="687"/>
      <c r="D427" s="687"/>
      <c r="E427" s="687"/>
      <c r="F427" s="687"/>
      <c r="G427" s="687"/>
      <c r="H427" s="687"/>
      <c r="I427" s="688"/>
      <c r="J427" s="270">
        <f>ROUND(SUM(J422:J426),2)</f>
        <v>0</v>
      </c>
    </row>
    <row r="428" spans="2:10">
      <c r="B428" s="262"/>
      <c r="C428" s="262"/>
      <c r="D428" s="262"/>
      <c r="E428" s="262"/>
      <c r="F428" s="262"/>
      <c r="G428" s="262"/>
      <c r="H428" s="262"/>
      <c r="I428" s="262"/>
      <c r="J428" s="262"/>
    </row>
    <row r="429" spans="2:10">
      <c r="B429" s="691" t="s">
        <v>1014</v>
      </c>
      <c r="C429" s="691"/>
      <c r="D429" s="691"/>
      <c r="E429" s="691"/>
      <c r="F429" s="691"/>
      <c r="G429" s="691"/>
      <c r="H429" s="262"/>
      <c r="I429" s="262"/>
      <c r="J429" s="262"/>
    </row>
    <row r="430" spans="2:10">
      <c r="B430" s="692" t="s">
        <v>1015</v>
      </c>
      <c r="C430" s="693"/>
      <c r="D430" s="693"/>
      <c r="E430" s="694"/>
      <c r="F430" s="265" t="s">
        <v>1016</v>
      </c>
      <c r="G430" s="265" t="s">
        <v>1017</v>
      </c>
      <c r="H430" s="262"/>
      <c r="I430" s="262"/>
      <c r="J430" s="262"/>
    </row>
    <row r="431" spans="2:10">
      <c r="B431" s="678" t="s">
        <v>1018</v>
      </c>
      <c r="C431" s="679"/>
      <c r="D431" s="679"/>
      <c r="E431" s="680"/>
      <c r="F431" s="681">
        <f>$J$10</f>
        <v>0.91500000000000004</v>
      </c>
      <c r="G431" s="272">
        <f>J403</f>
        <v>7.23</v>
      </c>
      <c r="H431" s="262"/>
      <c r="I431" s="262"/>
      <c r="J431" s="262"/>
    </row>
    <row r="432" spans="2:10">
      <c r="B432" s="678" t="s">
        <v>1019</v>
      </c>
      <c r="C432" s="679"/>
      <c r="D432" s="679"/>
      <c r="E432" s="680"/>
      <c r="F432" s="695"/>
      <c r="G432" s="272">
        <f>J419</f>
        <v>10.130000000000001</v>
      </c>
      <c r="H432" s="262"/>
      <c r="I432" s="262"/>
      <c r="J432" s="262"/>
    </row>
    <row r="433" spans="2:10">
      <c r="B433" s="678" t="s">
        <v>1020</v>
      </c>
      <c r="C433" s="679"/>
      <c r="D433" s="679"/>
      <c r="E433" s="680"/>
      <c r="F433" s="695"/>
      <c r="G433" s="272">
        <f>J427</f>
        <v>0</v>
      </c>
      <c r="H433" s="262"/>
      <c r="I433" s="262"/>
      <c r="J433" s="262"/>
    </row>
    <row r="434" spans="2:10">
      <c r="B434" s="678" t="s">
        <v>1021</v>
      </c>
      <c r="C434" s="679"/>
      <c r="D434" s="679"/>
      <c r="E434" s="680"/>
      <c r="F434" s="695"/>
      <c r="G434" s="272">
        <v>1</v>
      </c>
      <c r="H434" s="262"/>
      <c r="I434" s="262"/>
      <c r="J434" s="262"/>
    </row>
    <row r="435" spans="2:10">
      <c r="B435" s="678" t="s">
        <v>1022</v>
      </c>
      <c r="C435" s="679"/>
      <c r="D435" s="679"/>
      <c r="E435" s="680"/>
      <c r="F435" s="695"/>
      <c r="G435" s="272">
        <f>G431+G433</f>
        <v>7.23</v>
      </c>
      <c r="H435" s="262"/>
      <c r="I435" s="262"/>
      <c r="J435" s="262"/>
    </row>
    <row r="436" spans="2:10">
      <c r="B436" s="678" t="s">
        <v>1023</v>
      </c>
      <c r="C436" s="679"/>
      <c r="D436" s="679"/>
      <c r="E436" s="680"/>
      <c r="F436" s="695"/>
      <c r="G436" s="272">
        <f>G435/G434</f>
        <v>7.23</v>
      </c>
      <c r="H436" s="262"/>
      <c r="I436" s="262"/>
      <c r="J436" s="262"/>
    </row>
    <row r="437" spans="2:10">
      <c r="B437" s="678" t="s">
        <v>1024</v>
      </c>
      <c r="C437" s="679"/>
      <c r="D437" s="679"/>
      <c r="E437" s="680"/>
      <c r="F437" s="682"/>
      <c r="G437" s="272">
        <f>G432+G436</f>
        <v>17.36</v>
      </c>
      <c r="H437" s="262"/>
      <c r="I437" s="262"/>
      <c r="J437" s="262"/>
    </row>
    <row r="438" spans="2:10">
      <c r="B438" s="678" t="s">
        <v>1025</v>
      </c>
      <c r="C438" s="679"/>
      <c r="D438" s="679"/>
      <c r="E438" s="680"/>
      <c r="F438" s="681">
        <f>$J$11</f>
        <v>0.14019999999999999</v>
      </c>
      <c r="G438" s="272">
        <f>G437*F438</f>
        <v>2.4338719999999996</v>
      </c>
      <c r="H438" s="262"/>
      <c r="I438" s="262"/>
      <c r="J438" s="262"/>
    </row>
    <row r="439" spans="2:10">
      <c r="B439" s="683" t="s">
        <v>1026</v>
      </c>
      <c r="C439" s="684"/>
      <c r="D439" s="684"/>
      <c r="E439" s="685"/>
      <c r="F439" s="682"/>
      <c r="G439" s="273">
        <f>ROUND(SUM(G437+G438),2)</f>
        <v>19.79</v>
      </c>
      <c r="H439" s="262"/>
      <c r="I439" s="262"/>
      <c r="J439" s="262"/>
    </row>
    <row r="440" spans="2:10" ht="15.75" thickBot="1"/>
    <row r="441" spans="2:10" ht="15.75" thickBot="1">
      <c r="B441" s="696" t="s">
        <v>990</v>
      </c>
      <c r="C441" s="697"/>
      <c r="D441" s="697"/>
      <c r="E441" s="697"/>
      <c r="F441" s="697"/>
      <c r="G441" s="697"/>
      <c r="H441" s="697"/>
      <c r="I441" s="697"/>
      <c r="J441" s="698"/>
    </row>
    <row r="442" spans="2:10">
      <c r="B442" s="699" t="s">
        <v>7</v>
      </c>
      <c r="C442" s="699"/>
      <c r="D442" s="699"/>
      <c r="E442" s="699"/>
      <c r="F442" s="699"/>
      <c r="G442" s="699"/>
      <c r="H442" s="699"/>
      <c r="I442" s="699"/>
      <c r="J442" s="699"/>
    </row>
    <row r="443" spans="2:10" ht="15.75" thickBot="1">
      <c r="B443" s="699" t="s">
        <v>8</v>
      </c>
      <c r="C443" s="699"/>
      <c r="D443" s="699"/>
      <c r="E443" s="699"/>
      <c r="F443" s="699"/>
      <c r="G443" s="699"/>
      <c r="H443" s="699"/>
      <c r="I443" s="699"/>
      <c r="J443" s="699"/>
    </row>
    <row r="444" spans="2:10">
      <c r="B444" s="700" t="s">
        <v>991</v>
      </c>
      <c r="C444" s="249" t="s">
        <v>992</v>
      </c>
      <c r="D444" s="250">
        <v>6</v>
      </c>
      <c r="E444" s="251" t="s">
        <v>993</v>
      </c>
      <c r="F444" s="252">
        <v>2017</v>
      </c>
      <c r="G444" s="253"/>
      <c r="H444" s="253"/>
      <c r="I444" s="251" t="s">
        <v>994</v>
      </c>
      <c r="J444" s="306" t="s">
        <v>705</v>
      </c>
    </row>
    <row r="445" spans="2:10">
      <c r="B445" s="701"/>
      <c r="C445" s="255" t="s">
        <v>995</v>
      </c>
      <c r="D445" s="703" t="s">
        <v>1069</v>
      </c>
      <c r="E445" s="704"/>
      <c r="F445" s="256"/>
      <c r="G445" s="256"/>
      <c r="H445" s="256"/>
      <c r="I445" s="256"/>
      <c r="J445" s="257"/>
    </row>
    <row r="446" spans="2:10" ht="31.5" customHeight="1">
      <c r="B446" s="701"/>
      <c r="C446" s="255" t="s">
        <v>997</v>
      </c>
      <c r="D446" s="705" t="s">
        <v>1107</v>
      </c>
      <c r="E446" s="705"/>
      <c r="F446" s="705"/>
      <c r="G446" s="705"/>
      <c r="H446" s="705"/>
      <c r="I446" s="705"/>
      <c r="J446" s="706"/>
    </row>
    <row r="447" spans="2:10" ht="15.75" thickBot="1">
      <c r="B447" s="702"/>
      <c r="C447" s="258" t="s">
        <v>999</v>
      </c>
      <c r="D447" s="259" t="s">
        <v>543</v>
      </c>
      <c r="E447" s="260"/>
      <c r="F447" s="260"/>
      <c r="G447" s="260"/>
      <c r="H447" s="260"/>
      <c r="I447" s="260"/>
      <c r="J447" s="261"/>
    </row>
    <row r="448" spans="2:10">
      <c r="B448" s="262"/>
      <c r="C448" s="262"/>
      <c r="D448" s="262"/>
      <c r="E448" s="262"/>
      <c r="F448" s="262"/>
      <c r="G448" s="262"/>
      <c r="H448" s="262"/>
      <c r="I448" s="262"/>
      <c r="J448" s="262"/>
    </row>
    <row r="449" spans="2:10" ht="30">
      <c r="B449" s="263" t="s">
        <v>1001</v>
      </c>
      <c r="C449" s="264" t="s">
        <v>1002</v>
      </c>
      <c r="D449" s="264" t="s">
        <v>1003</v>
      </c>
      <c r="E449" s="265" t="s">
        <v>1004</v>
      </c>
      <c r="F449" s="265" t="s">
        <v>1005</v>
      </c>
      <c r="G449" s="265" t="s">
        <v>1006</v>
      </c>
      <c r="H449" s="265" t="s">
        <v>1007</v>
      </c>
      <c r="I449" s="265" t="s">
        <v>1008</v>
      </c>
      <c r="J449" s="265" t="s">
        <v>1009</v>
      </c>
    </row>
    <row r="450" spans="2:10">
      <c r="B450" s="295" t="s">
        <v>1101</v>
      </c>
      <c r="C450" s="267" t="s">
        <v>897</v>
      </c>
      <c r="D450" s="267">
        <v>88309</v>
      </c>
      <c r="E450" s="268">
        <v>0.17</v>
      </c>
      <c r="F450" s="268">
        <v>1</v>
      </c>
      <c r="G450" s="302">
        <f>(18.62/1.915)</f>
        <v>9.7232375979112273</v>
      </c>
      <c r="H450" s="268">
        <v>0</v>
      </c>
      <c r="I450" s="268">
        <f t="shared" ref="I450:I452" si="14">ROUND(G450*(1+$J$10),2)</f>
        <v>18.62</v>
      </c>
      <c r="J450" s="269">
        <f>I450*E450</f>
        <v>3.1654000000000004</v>
      </c>
    </row>
    <row r="451" spans="2:10">
      <c r="B451" s="295" t="s">
        <v>1102</v>
      </c>
      <c r="C451" s="267" t="s">
        <v>897</v>
      </c>
      <c r="D451" s="267">
        <v>88316</v>
      </c>
      <c r="E451" s="268">
        <v>0.17</v>
      </c>
      <c r="F451" s="268">
        <v>1</v>
      </c>
      <c r="G451" s="268">
        <v>7.16</v>
      </c>
      <c r="H451" s="268">
        <v>0</v>
      </c>
      <c r="I451" s="268">
        <f t="shared" si="14"/>
        <v>13.71</v>
      </c>
      <c r="J451" s="269">
        <f>I451*E451</f>
        <v>2.3307000000000002</v>
      </c>
    </row>
    <row r="452" spans="2:10">
      <c r="B452" s="266"/>
      <c r="C452" s="267"/>
      <c r="D452" s="267"/>
      <c r="E452" s="268"/>
      <c r="F452" s="268"/>
      <c r="G452" s="268"/>
      <c r="H452" s="268">
        <v>0</v>
      </c>
      <c r="I452" s="268">
        <f t="shared" si="14"/>
        <v>0</v>
      </c>
      <c r="J452" s="269">
        <f>I452*E452</f>
        <v>0</v>
      </c>
    </row>
    <row r="453" spans="2:10">
      <c r="B453" s="266"/>
      <c r="C453" s="267"/>
      <c r="D453" s="267"/>
      <c r="E453" s="268"/>
      <c r="F453" s="268"/>
      <c r="G453" s="268"/>
      <c r="H453" s="268"/>
      <c r="I453" s="268"/>
      <c r="J453" s="269"/>
    </row>
    <row r="454" spans="2:10">
      <c r="B454" s="266"/>
      <c r="C454" s="267"/>
      <c r="D454" s="267"/>
      <c r="E454" s="268"/>
      <c r="F454" s="268"/>
      <c r="G454" s="268"/>
      <c r="H454" s="268"/>
      <c r="I454" s="268"/>
      <c r="J454" s="269"/>
    </row>
    <row r="455" spans="2:10">
      <c r="B455" s="266"/>
      <c r="C455" s="266"/>
      <c r="D455" s="267"/>
      <c r="E455" s="267"/>
      <c r="F455" s="268"/>
      <c r="G455" s="268"/>
      <c r="H455" s="268"/>
      <c r="I455" s="268"/>
      <c r="J455" s="269"/>
    </row>
    <row r="456" spans="2:10">
      <c r="B456" s="686" t="s">
        <v>1011</v>
      </c>
      <c r="C456" s="687"/>
      <c r="D456" s="687"/>
      <c r="E456" s="687"/>
      <c r="F456" s="687"/>
      <c r="G456" s="687"/>
      <c r="H456" s="687"/>
      <c r="I456" s="688"/>
      <c r="J456" s="270">
        <f>ROUND(SUM(J450:J455),2)</f>
        <v>5.5</v>
      </c>
    </row>
    <row r="457" spans="2:10">
      <c r="B457" s="689"/>
      <c r="C457" s="689"/>
      <c r="D457" s="689"/>
      <c r="E457" s="689"/>
      <c r="F457" s="689"/>
      <c r="G457" s="689"/>
      <c r="H457" s="689"/>
      <c r="I457" s="689"/>
      <c r="J457" s="689"/>
    </row>
    <row r="458" spans="2:10" ht="30">
      <c r="B458" s="263" t="s">
        <v>1012</v>
      </c>
      <c r="C458" s="264" t="s">
        <v>1002</v>
      </c>
      <c r="D458" s="264" t="s">
        <v>1072</v>
      </c>
      <c r="E458" s="265" t="s">
        <v>1004</v>
      </c>
      <c r="F458" s="265" t="s">
        <v>1005</v>
      </c>
      <c r="G458" s="265" t="s">
        <v>1006</v>
      </c>
      <c r="H458" s="265" t="s">
        <v>1007</v>
      </c>
      <c r="I458" s="265" t="s">
        <v>1008</v>
      </c>
      <c r="J458" s="265" t="s">
        <v>1009</v>
      </c>
    </row>
    <row r="459" spans="2:10">
      <c r="B459" s="295" t="s">
        <v>1099</v>
      </c>
      <c r="C459" s="296" t="s">
        <v>584</v>
      </c>
      <c r="D459" s="267" t="s">
        <v>1098</v>
      </c>
      <c r="E459" s="268">
        <v>0.37</v>
      </c>
      <c r="F459" s="268">
        <v>1</v>
      </c>
      <c r="G459" s="268" t="s">
        <v>1100</v>
      </c>
      <c r="H459" s="268">
        <v>0</v>
      </c>
      <c r="I459" s="268" t="str">
        <f>G459</f>
        <v>21,67</v>
      </c>
      <c r="J459" s="269">
        <f>I459*E459</f>
        <v>8.0179000000000009</v>
      </c>
    </row>
    <row r="460" spans="2:10" ht="30">
      <c r="B460" s="295" t="s">
        <v>717</v>
      </c>
      <c r="C460" s="296" t="s">
        <v>543</v>
      </c>
      <c r="D460" s="267">
        <v>38181</v>
      </c>
      <c r="E460" s="268">
        <v>1</v>
      </c>
      <c r="F460" s="268">
        <v>1</v>
      </c>
      <c r="G460" s="268">
        <v>134.46</v>
      </c>
      <c r="H460" s="268">
        <v>0</v>
      </c>
      <c r="I460" s="268">
        <f>G460</f>
        <v>134.46</v>
      </c>
      <c r="J460" s="269">
        <f>I460*E460</f>
        <v>134.46</v>
      </c>
    </row>
    <row r="461" spans="2:10">
      <c r="B461" s="295"/>
      <c r="C461" s="296"/>
      <c r="D461" s="267"/>
      <c r="E461" s="268"/>
      <c r="F461" s="268"/>
      <c r="G461" s="268"/>
      <c r="H461" s="268"/>
      <c r="I461" s="268"/>
      <c r="J461" s="269"/>
    </row>
    <row r="462" spans="2:10">
      <c r="B462" s="295"/>
      <c r="C462" s="296"/>
      <c r="D462" s="296"/>
      <c r="E462" s="268"/>
      <c r="F462" s="268"/>
      <c r="G462" s="268"/>
      <c r="H462" s="268"/>
      <c r="I462" s="268"/>
      <c r="J462" s="269"/>
    </row>
    <row r="463" spans="2:10">
      <c r="B463" s="295"/>
      <c r="C463" s="266"/>
      <c r="D463" s="267"/>
      <c r="E463" s="267"/>
      <c r="F463" s="268"/>
      <c r="G463" s="268"/>
      <c r="H463" s="268"/>
      <c r="I463" s="268"/>
      <c r="J463" s="269"/>
    </row>
    <row r="464" spans="2:10">
      <c r="B464" s="266"/>
      <c r="C464" s="266"/>
      <c r="D464" s="267"/>
      <c r="E464" s="267"/>
      <c r="F464" s="268"/>
      <c r="G464" s="268"/>
      <c r="H464" s="268"/>
      <c r="I464" s="268"/>
      <c r="J464" s="269"/>
    </row>
    <row r="465" spans="2:10">
      <c r="B465" s="266"/>
      <c r="C465" s="266"/>
      <c r="D465" s="267"/>
      <c r="E465" s="267"/>
      <c r="F465" s="268"/>
      <c r="G465" s="268"/>
      <c r="H465" s="268"/>
      <c r="I465" s="268"/>
      <c r="J465" s="269"/>
    </row>
    <row r="466" spans="2:10">
      <c r="B466" s="266"/>
      <c r="C466" s="266"/>
      <c r="D466" s="267"/>
      <c r="E466" s="267"/>
      <c r="F466" s="268"/>
      <c r="G466" s="268"/>
      <c r="H466" s="268"/>
      <c r="I466" s="268"/>
      <c r="J466" s="269"/>
    </row>
    <row r="467" spans="2:10">
      <c r="B467" s="266"/>
      <c r="C467" s="266"/>
      <c r="D467" s="267"/>
      <c r="E467" s="267"/>
      <c r="F467" s="268"/>
      <c r="G467" s="268"/>
      <c r="H467" s="268"/>
      <c r="I467" s="268"/>
      <c r="J467" s="269"/>
    </row>
    <row r="468" spans="2:10">
      <c r="B468" s="266"/>
      <c r="C468" s="266"/>
      <c r="D468" s="267"/>
      <c r="E468" s="267"/>
      <c r="F468" s="268"/>
      <c r="G468" s="268"/>
      <c r="H468" s="268"/>
      <c r="I468" s="268"/>
      <c r="J468" s="269"/>
    </row>
    <row r="469" spans="2:10">
      <c r="B469" s="266"/>
      <c r="C469" s="266"/>
      <c r="D469" s="267"/>
      <c r="E469" s="267"/>
      <c r="F469" s="268"/>
      <c r="G469" s="268"/>
      <c r="H469" s="268"/>
      <c r="I469" s="268"/>
      <c r="J469" s="269"/>
    </row>
    <row r="470" spans="2:10">
      <c r="B470" s="266"/>
      <c r="C470" s="266"/>
      <c r="D470" s="267"/>
      <c r="E470" s="267"/>
      <c r="F470" s="268"/>
      <c r="G470" s="268"/>
      <c r="H470" s="268"/>
      <c r="I470" s="268"/>
      <c r="J470" s="269"/>
    </row>
    <row r="471" spans="2:10">
      <c r="B471" s="266"/>
      <c r="C471" s="266"/>
      <c r="D471" s="267"/>
      <c r="E471" s="267"/>
      <c r="F471" s="268"/>
      <c r="G471" s="268"/>
      <c r="H471" s="268"/>
      <c r="I471" s="268"/>
      <c r="J471" s="269"/>
    </row>
    <row r="472" spans="2:10">
      <c r="B472" s="266"/>
      <c r="C472" s="266"/>
      <c r="D472" s="267"/>
      <c r="E472" s="267"/>
      <c r="F472" s="268"/>
      <c r="G472" s="268"/>
      <c r="H472" s="268"/>
      <c r="I472" s="268"/>
      <c r="J472" s="269"/>
    </row>
    <row r="473" spans="2:10">
      <c r="B473" s="266"/>
      <c r="C473" s="266"/>
      <c r="D473" s="267"/>
      <c r="E473" s="267"/>
      <c r="F473" s="268"/>
      <c r="G473" s="268"/>
      <c r="H473" s="268"/>
      <c r="I473" s="268"/>
      <c r="J473" s="269"/>
    </row>
    <row r="474" spans="2:10">
      <c r="B474" s="686" t="s">
        <v>1011</v>
      </c>
      <c r="C474" s="687"/>
      <c r="D474" s="687"/>
      <c r="E474" s="687"/>
      <c r="F474" s="687"/>
      <c r="G474" s="687"/>
      <c r="H474" s="687"/>
      <c r="I474" s="688"/>
      <c r="J474" s="270">
        <f>ROUND(SUM(J459:J473),2)</f>
        <v>142.47999999999999</v>
      </c>
    </row>
    <row r="475" spans="2:10">
      <c r="B475" s="690"/>
      <c r="C475" s="690"/>
      <c r="D475" s="690"/>
      <c r="E475" s="690"/>
      <c r="F475" s="690"/>
      <c r="G475" s="690"/>
      <c r="H475" s="690"/>
      <c r="I475" s="690"/>
      <c r="J475" s="690"/>
    </row>
    <row r="476" spans="2:10" ht="30">
      <c r="B476" s="263" t="s">
        <v>1013</v>
      </c>
      <c r="C476" s="264" t="s">
        <v>1002</v>
      </c>
      <c r="D476" s="264" t="s">
        <v>1003</v>
      </c>
      <c r="E476" s="265" t="s">
        <v>1004</v>
      </c>
      <c r="F476" s="265" t="s">
        <v>1005</v>
      </c>
      <c r="G476" s="265" t="s">
        <v>1006</v>
      </c>
      <c r="H476" s="265" t="s">
        <v>1007</v>
      </c>
      <c r="I476" s="265" t="s">
        <v>1008</v>
      </c>
      <c r="J476" s="265" t="s">
        <v>1009</v>
      </c>
    </row>
    <row r="477" spans="2:10">
      <c r="B477" s="266"/>
      <c r="C477" s="267"/>
      <c r="D477" s="267"/>
      <c r="E477" s="268"/>
      <c r="F477" s="268"/>
      <c r="G477" s="268"/>
      <c r="H477" s="268"/>
      <c r="I477" s="268"/>
      <c r="J477" s="271"/>
    </row>
    <row r="478" spans="2:10">
      <c r="B478" s="266"/>
      <c r="C478" s="267"/>
      <c r="D478" s="267"/>
      <c r="E478" s="268"/>
      <c r="F478" s="268"/>
      <c r="G478" s="268"/>
      <c r="H478" s="268"/>
      <c r="I478" s="268"/>
      <c r="J478" s="271"/>
    </row>
    <row r="479" spans="2:10">
      <c r="B479" s="266"/>
      <c r="C479" s="267"/>
      <c r="D479" s="267"/>
      <c r="E479" s="268"/>
      <c r="F479" s="268"/>
      <c r="G479" s="268"/>
      <c r="H479" s="268"/>
      <c r="I479" s="268"/>
      <c r="J479" s="271"/>
    </row>
    <row r="480" spans="2:10">
      <c r="B480" s="266"/>
      <c r="C480" s="267"/>
      <c r="D480" s="267"/>
      <c r="E480" s="268"/>
      <c r="F480" s="268"/>
      <c r="G480" s="268"/>
      <c r="H480" s="268"/>
      <c r="I480" s="268"/>
      <c r="J480" s="271"/>
    </row>
    <row r="481" spans="2:10">
      <c r="B481" s="266"/>
      <c r="C481" s="266"/>
      <c r="D481" s="267"/>
      <c r="E481" s="267"/>
      <c r="F481" s="268"/>
      <c r="G481" s="268"/>
      <c r="H481" s="268"/>
      <c r="I481" s="268"/>
      <c r="J481" s="271"/>
    </row>
    <row r="482" spans="2:10">
      <c r="B482" s="686" t="s">
        <v>1011</v>
      </c>
      <c r="C482" s="687"/>
      <c r="D482" s="687"/>
      <c r="E482" s="687"/>
      <c r="F482" s="687"/>
      <c r="G482" s="687"/>
      <c r="H482" s="687"/>
      <c r="I482" s="688"/>
      <c r="J482" s="270">
        <f>ROUND(SUM(J477:J481),2)</f>
        <v>0</v>
      </c>
    </row>
    <row r="483" spans="2:10">
      <c r="B483" s="262"/>
      <c r="C483" s="262"/>
      <c r="D483" s="262"/>
      <c r="E483" s="262"/>
      <c r="F483" s="262"/>
      <c r="G483" s="262"/>
      <c r="H483" s="262"/>
      <c r="I483" s="262"/>
      <c r="J483" s="262"/>
    </row>
    <row r="484" spans="2:10">
      <c r="B484" s="691" t="s">
        <v>1014</v>
      </c>
      <c r="C484" s="691"/>
      <c r="D484" s="691"/>
      <c r="E484" s="691"/>
      <c r="F484" s="691"/>
      <c r="G484" s="691"/>
      <c r="H484" s="262"/>
      <c r="I484" s="262"/>
      <c r="J484" s="262"/>
    </row>
    <row r="485" spans="2:10">
      <c r="B485" s="692" t="s">
        <v>1015</v>
      </c>
      <c r="C485" s="693"/>
      <c r="D485" s="693"/>
      <c r="E485" s="694"/>
      <c r="F485" s="265" t="s">
        <v>1016</v>
      </c>
      <c r="G485" s="265" t="s">
        <v>1017</v>
      </c>
      <c r="H485" s="262"/>
      <c r="I485" s="262"/>
      <c r="J485" s="262"/>
    </row>
    <row r="486" spans="2:10">
      <c r="B486" s="678" t="s">
        <v>1018</v>
      </c>
      <c r="C486" s="679"/>
      <c r="D486" s="679"/>
      <c r="E486" s="680"/>
      <c r="F486" s="681">
        <f>$J$10</f>
        <v>0.91500000000000004</v>
      </c>
      <c r="G486" s="272">
        <f>J456</f>
        <v>5.5</v>
      </c>
      <c r="H486" s="262"/>
      <c r="I486" s="262"/>
      <c r="J486" s="262"/>
    </row>
    <row r="487" spans="2:10">
      <c r="B487" s="678" t="s">
        <v>1019</v>
      </c>
      <c r="C487" s="679"/>
      <c r="D487" s="679"/>
      <c r="E487" s="680"/>
      <c r="F487" s="695"/>
      <c r="G487" s="272">
        <f>J474</f>
        <v>142.47999999999999</v>
      </c>
      <c r="H487" s="262"/>
      <c r="I487" s="262"/>
      <c r="J487" s="262"/>
    </row>
    <row r="488" spans="2:10">
      <c r="B488" s="678" t="s">
        <v>1020</v>
      </c>
      <c r="C488" s="679"/>
      <c r="D488" s="679"/>
      <c r="E488" s="680"/>
      <c r="F488" s="695"/>
      <c r="G488" s="272">
        <f>J482</f>
        <v>0</v>
      </c>
      <c r="H488" s="262"/>
      <c r="I488" s="262"/>
      <c r="J488" s="262"/>
    </row>
    <row r="489" spans="2:10">
      <c r="B489" s="678" t="s">
        <v>1021</v>
      </c>
      <c r="C489" s="679"/>
      <c r="D489" s="679"/>
      <c r="E489" s="680"/>
      <c r="F489" s="695"/>
      <c r="G489" s="272">
        <v>1</v>
      </c>
      <c r="H489" s="262"/>
      <c r="I489" s="262"/>
      <c r="J489" s="262"/>
    </row>
    <row r="490" spans="2:10">
      <c r="B490" s="678" t="s">
        <v>1022</v>
      </c>
      <c r="C490" s="679"/>
      <c r="D490" s="679"/>
      <c r="E490" s="680"/>
      <c r="F490" s="695"/>
      <c r="G490" s="272">
        <f>G486+G488</f>
        <v>5.5</v>
      </c>
      <c r="H490" s="262"/>
      <c r="I490" s="262"/>
      <c r="J490" s="262"/>
    </row>
    <row r="491" spans="2:10">
      <c r="B491" s="678" t="s">
        <v>1023</v>
      </c>
      <c r="C491" s="679"/>
      <c r="D491" s="679"/>
      <c r="E491" s="680"/>
      <c r="F491" s="695"/>
      <c r="G491" s="272">
        <f>G490/G489</f>
        <v>5.5</v>
      </c>
      <c r="H491" s="262"/>
      <c r="I491" s="262"/>
      <c r="J491" s="262"/>
    </row>
    <row r="492" spans="2:10">
      <c r="B492" s="678" t="s">
        <v>1024</v>
      </c>
      <c r="C492" s="679"/>
      <c r="D492" s="679"/>
      <c r="E492" s="680"/>
      <c r="F492" s="682"/>
      <c r="G492" s="272">
        <f>G487+G491</f>
        <v>147.97999999999999</v>
      </c>
      <c r="H492" s="262"/>
      <c r="I492" s="262"/>
      <c r="J492" s="262"/>
    </row>
    <row r="493" spans="2:10">
      <c r="B493" s="678" t="s">
        <v>1025</v>
      </c>
      <c r="C493" s="679"/>
      <c r="D493" s="679"/>
      <c r="E493" s="680"/>
      <c r="F493" s="681">
        <f>$I$11</f>
        <v>0.28220000000000001</v>
      </c>
      <c r="G493" s="272">
        <f>G492*F493</f>
        <v>41.759955999999995</v>
      </c>
      <c r="H493" s="262"/>
      <c r="I493" s="262"/>
      <c r="J493" s="262"/>
    </row>
    <row r="494" spans="2:10">
      <c r="B494" s="683" t="s">
        <v>1026</v>
      </c>
      <c r="C494" s="684"/>
      <c r="D494" s="684"/>
      <c r="E494" s="685"/>
      <c r="F494" s="682"/>
      <c r="G494" s="273">
        <f>ROUND(SUM(G492+G493),2)</f>
        <v>189.74</v>
      </c>
      <c r="H494" s="262"/>
      <c r="I494" s="262"/>
      <c r="J494" s="262"/>
    </row>
    <row r="495" spans="2:10" ht="15.75" thickBot="1"/>
    <row r="496" spans="2:10" ht="15.75" thickBot="1">
      <c r="B496" s="696" t="s">
        <v>990</v>
      </c>
      <c r="C496" s="697"/>
      <c r="D496" s="697"/>
      <c r="E496" s="697"/>
      <c r="F496" s="697"/>
      <c r="G496" s="697"/>
      <c r="H496" s="697"/>
      <c r="I496" s="697"/>
      <c r="J496" s="698"/>
    </row>
    <row r="497" spans="2:10">
      <c r="B497" s="699" t="s">
        <v>7</v>
      </c>
      <c r="C497" s="699"/>
      <c r="D497" s="699"/>
      <c r="E497" s="699"/>
      <c r="F497" s="699"/>
      <c r="G497" s="699"/>
      <c r="H497" s="699"/>
      <c r="I497" s="699"/>
      <c r="J497" s="699"/>
    </row>
    <row r="498" spans="2:10" ht="15.75" thickBot="1">
      <c r="B498" s="699" t="s">
        <v>8</v>
      </c>
      <c r="C498" s="699"/>
      <c r="D498" s="699"/>
      <c r="E498" s="699"/>
      <c r="F498" s="699"/>
      <c r="G498" s="699"/>
      <c r="H498" s="699"/>
      <c r="I498" s="699"/>
      <c r="J498" s="699"/>
    </row>
    <row r="499" spans="2:10">
      <c r="B499" s="700" t="s">
        <v>991</v>
      </c>
      <c r="C499" s="249" t="s">
        <v>992</v>
      </c>
      <c r="D499" s="250">
        <v>6</v>
      </c>
      <c r="E499" s="251" t="s">
        <v>993</v>
      </c>
      <c r="F499" s="252">
        <v>2017</v>
      </c>
      <c r="G499" s="253"/>
      <c r="H499" s="253"/>
      <c r="I499" s="251" t="s">
        <v>994</v>
      </c>
      <c r="J499" s="306" t="s">
        <v>716</v>
      </c>
    </row>
    <row r="500" spans="2:10">
      <c r="B500" s="701"/>
      <c r="C500" s="255" t="s">
        <v>995</v>
      </c>
      <c r="D500" s="703" t="s">
        <v>1094</v>
      </c>
      <c r="E500" s="704"/>
      <c r="F500" s="256"/>
      <c r="G500" s="256"/>
      <c r="H500" s="256"/>
      <c r="I500" s="256"/>
      <c r="J500" s="257"/>
    </row>
    <row r="501" spans="2:10" ht="30.75" customHeight="1">
      <c r="B501" s="701"/>
      <c r="C501" s="255" t="s">
        <v>997</v>
      </c>
      <c r="D501" s="705" t="s">
        <v>1108</v>
      </c>
      <c r="E501" s="705"/>
      <c r="F501" s="705"/>
      <c r="G501" s="705"/>
      <c r="H501" s="705"/>
      <c r="I501" s="705"/>
      <c r="J501" s="706"/>
    </row>
    <row r="502" spans="2:10" ht="15.75" thickBot="1">
      <c r="B502" s="702"/>
      <c r="C502" s="258" t="s">
        <v>999</v>
      </c>
      <c r="D502" s="259" t="s">
        <v>543</v>
      </c>
      <c r="E502" s="260"/>
      <c r="F502" s="260"/>
      <c r="G502" s="260"/>
      <c r="H502" s="260"/>
      <c r="I502" s="260"/>
      <c r="J502" s="261"/>
    </row>
    <row r="503" spans="2:10">
      <c r="B503" s="262"/>
      <c r="C503" s="262"/>
      <c r="D503" s="262"/>
      <c r="E503" s="262"/>
      <c r="F503" s="262"/>
      <c r="G503" s="262"/>
      <c r="H503" s="262"/>
      <c r="I503" s="262"/>
      <c r="J503" s="262"/>
    </row>
    <row r="504" spans="2:10" ht="30">
      <c r="B504" s="263" t="s">
        <v>1001</v>
      </c>
      <c r="C504" s="264" t="s">
        <v>1002</v>
      </c>
      <c r="D504" s="264" t="s">
        <v>1003</v>
      </c>
      <c r="E504" s="265" t="s">
        <v>1004</v>
      </c>
      <c r="F504" s="265" t="s">
        <v>1005</v>
      </c>
      <c r="G504" s="265" t="s">
        <v>1006</v>
      </c>
      <c r="H504" s="265" t="s">
        <v>1007</v>
      </c>
      <c r="I504" s="265" t="s">
        <v>1008</v>
      </c>
      <c r="J504" s="265" t="s">
        <v>1009</v>
      </c>
    </row>
    <row r="505" spans="2:10">
      <c r="B505" s="295" t="s">
        <v>1101</v>
      </c>
      <c r="C505" s="267" t="s">
        <v>897</v>
      </c>
      <c r="D505" s="267">
        <v>88309</v>
      </c>
      <c r="E505" s="268">
        <v>0.5</v>
      </c>
      <c r="F505" s="268">
        <v>1</v>
      </c>
      <c r="G505" s="302">
        <f>(18.62/1.915)</f>
        <v>9.7232375979112273</v>
      </c>
      <c r="H505" s="268">
        <v>0</v>
      </c>
      <c r="I505" s="268">
        <f t="shared" ref="I505:I507" si="15">ROUND(G505*(1+$J$10),2)</f>
        <v>18.62</v>
      </c>
      <c r="J505" s="269">
        <f>I505*E505</f>
        <v>9.31</v>
      </c>
    </row>
    <row r="506" spans="2:10">
      <c r="B506" s="295" t="s">
        <v>1102</v>
      </c>
      <c r="C506" s="267" t="s">
        <v>897</v>
      </c>
      <c r="D506" s="267">
        <v>88316</v>
      </c>
      <c r="E506" s="268">
        <v>0.4</v>
      </c>
      <c r="F506" s="268">
        <v>1</v>
      </c>
      <c r="G506" s="268">
        <v>7.16</v>
      </c>
      <c r="H506" s="268">
        <v>0</v>
      </c>
      <c r="I506" s="268">
        <f t="shared" si="15"/>
        <v>13.71</v>
      </c>
      <c r="J506" s="269">
        <f>I506*E506</f>
        <v>5.4840000000000009</v>
      </c>
    </row>
    <row r="507" spans="2:10">
      <c r="B507" s="266"/>
      <c r="C507" s="267"/>
      <c r="D507" s="267"/>
      <c r="E507" s="268"/>
      <c r="F507" s="268"/>
      <c r="G507" s="268"/>
      <c r="H507" s="268">
        <v>0</v>
      </c>
      <c r="I507" s="268">
        <f t="shared" si="15"/>
        <v>0</v>
      </c>
      <c r="J507" s="269">
        <f>I507*E507</f>
        <v>0</v>
      </c>
    </row>
    <row r="508" spans="2:10">
      <c r="B508" s="266"/>
      <c r="C508" s="267"/>
      <c r="D508" s="267"/>
      <c r="E508" s="268"/>
      <c r="F508" s="268"/>
      <c r="G508" s="268"/>
      <c r="H508" s="268"/>
      <c r="I508" s="268"/>
      <c r="J508" s="269"/>
    </row>
    <row r="509" spans="2:10">
      <c r="B509" s="266"/>
      <c r="C509" s="267"/>
      <c r="D509" s="267"/>
      <c r="E509" s="268"/>
      <c r="F509" s="268"/>
      <c r="G509" s="268"/>
      <c r="H509" s="268"/>
      <c r="I509" s="268"/>
      <c r="J509" s="269"/>
    </row>
    <row r="510" spans="2:10">
      <c r="B510" s="266"/>
      <c r="C510" s="266"/>
      <c r="D510" s="267"/>
      <c r="E510" s="267"/>
      <c r="F510" s="268"/>
      <c r="G510" s="268"/>
      <c r="H510" s="268"/>
      <c r="I510" s="268"/>
      <c r="J510" s="269"/>
    </row>
    <row r="511" spans="2:10">
      <c r="B511" s="686" t="s">
        <v>1011</v>
      </c>
      <c r="C511" s="687"/>
      <c r="D511" s="687"/>
      <c r="E511" s="687"/>
      <c r="F511" s="687"/>
      <c r="G511" s="687"/>
      <c r="H511" s="687"/>
      <c r="I511" s="688"/>
      <c r="J511" s="270">
        <f>ROUND(SUM(J505:J510),2)</f>
        <v>14.79</v>
      </c>
    </row>
    <row r="512" spans="2:10">
      <c r="B512" s="689"/>
      <c r="C512" s="689"/>
      <c r="D512" s="689"/>
      <c r="E512" s="689"/>
      <c r="F512" s="689"/>
      <c r="G512" s="689"/>
      <c r="H512" s="689"/>
      <c r="I512" s="689"/>
      <c r="J512" s="689"/>
    </row>
    <row r="513" spans="2:10" ht="30">
      <c r="B513" s="263" t="s">
        <v>1012</v>
      </c>
      <c r="C513" s="264" t="s">
        <v>1002</v>
      </c>
      <c r="D513" s="264" t="s">
        <v>1072</v>
      </c>
      <c r="E513" s="265" t="s">
        <v>1004</v>
      </c>
      <c r="F513" s="265" t="s">
        <v>1005</v>
      </c>
      <c r="G513" s="265" t="s">
        <v>1006</v>
      </c>
      <c r="H513" s="265" t="s">
        <v>1007</v>
      </c>
      <c r="I513" s="265" t="s">
        <v>1008</v>
      </c>
      <c r="J513" s="265" t="s">
        <v>1009</v>
      </c>
    </row>
    <row r="514" spans="2:10" ht="45">
      <c r="B514" s="295" t="s">
        <v>924</v>
      </c>
      <c r="C514" s="296" t="s">
        <v>584</v>
      </c>
      <c r="D514" s="267" t="s">
        <v>923</v>
      </c>
      <c r="E514" s="268">
        <v>1.2E-2</v>
      </c>
      <c r="F514" s="268">
        <v>1</v>
      </c>
      <c r="G514" s="268">
        <v>336.95</v>
      </c>
      <c r="H514" s="268">
        <v>0</v>
      </c>
      <c r="I514" s="268">
        <f>G514</f>
        <v>336.95</v>
      </c>
      <c r="J514" s="269">
        <f>I514*E514</f>
        <v>4.0434000000000001</v>
      </c>
    </row>
    <row r="515" spans="2:10" ht="30">
      <c r="B515" s="295" t="s">
        <v>706</v>
      </c>
      <c r="C515" s="296" t="s">
        <v>543</v>
      </c>
      <c r="D515" s="267">
        <v>38186</v>
      </c>
      <c r="E515" s="268">
        <v>1</v>
      </c>
      <c r="F515" s="268">
        <v>1</v>
      </c>
      <c r="G515" s="268">
        <v>332.93</v>
      </c>
      <c r="H515" s="268">
        <v>0</v>
      </c>
      <c r="I515" s="268">
        <f>G515</f>
        <v>332.93</v>
      </c>
      <c r="J515" s="269">
        <f>I515*E515</f>
        <v>332.93</v>
      </c>
    </row>
    <row r="516" spans="2:10">
      <c r="B516" s="295"/>
      <c r="C516" s="296"/>
      <c r="D516" s="267"/>
      <c r="E516" s="268"/>
      <c r="F516" s="268"/>
      <c r="G516" s="268"/>
      <c r="H516" s="268"/>
      <c r="I516" s="268"/>
      <c r="J516" s="269"/>
    </row>
    <row r="517" spans="2:10">
      <c r="B517" s="295"/>
      <c r="C517" s="296"/>
      <c r="D517" s="296"/>
      <c r="E517" s="268"/>
      <c r="F517" s="268"/>
      <c r="G517" s="268"/>
      <c r="H517" s="268"/>
      <c r="I517" s="268"/>
      <c r="J517" s="269"/>
    </row>
    <row r="518" spans="2:10">
      <c r="B518" s="295"/>
      <c r="C518" s="266"/>
      <c r="D518" s="267"/>
      <c r="E518" s="267"/>
      <c r="F518" s="268"/>
      <c r="G518" s="268"/>
      <c r="H518" s="268"/>
      <c r="I518" s="268"/>
      <c r="J518" s="269"/>
    </row>
    <row r="519" spans="2:10">
      <c r="B519" s="266"/>
      <c r="C519" s="266"/>
      <c r="D519" s="267"/>
      <c r="E519" s="267"/>
      <c r="F519" s="268"/>
      <c r="G519" s="268"/>
      <c r="H519" s="268"/>
      <c r="I519" s="268"/>
      <c r="J519" s="269"/>
    </row>
    <row r="520" spans="2:10">
      <c r="B520" s="266"/>
      <c r="C520" s="266"/>
      <c r="D520" s="267"/>
      <c r="E520" s="267"/>
      <c r="F520" s="268"/>
      <c r="G520" s="268"/>
      <c r="H520" s="268"/>
      <c r="I520" s="268"/>
      <c r="J520" s="269"/>
    </row>
    <row r="521" spans="2:10">
      <c r="B521" s="266"/>
      <c r="C521" s="266"/>
      <c r="D521" s="267"/>
      <c r="E521" s="267"/>
      <c r="F521" s="268"/>
      <c r="G521" s="268"/>
      <c r="H521" s="268"/>
      <c r="I521" s="268"/>
      <c r="J521" s="269"/>
    </row>
    <row r="522" spans="2:10">
      <c r="B522" s="266"/>
      <c r="C522" s="266"/>
      <c r="D522" s="267"/>
      <c r="E522" s="267"/>
      <c r="F522" s="268"/>
      <c r="G522" s="268"/>
      <c r="H522" s="268"/>
      <c r="I522" s="268"/>
      <c r="J522" s="269"/>
    </row>
    <row r="523" spans="2:10">
      <c r="B523" s="266"/>
      <c r="C523" s="266"/>
      <c r="D523" s="267"/>
      <c r="E523" s="267"/>
      <c r="F523" s="268"/>
      <c r="G523" s="268"/>
      <c r="H523" s="268"/>
      <c r="I523" s="268"/>
      <c r="J523" s="269"/>
    </row>
    <row r="524" spans="2:10">
      <c r="B524" s="266"/>
      <c r="C524" s="266"/>
      <c r="D524" s="267"/>
      <c r="E524" s="267"/>
      <c r="F524" s="268"/>
      <c r="G524" s="268"/>
      <c r="H524" s="268"/>
      <c r="I524" s="268"/>
      <c r="J524" s="269"/>
    </row>
    <row r="525" spans="2:10">
      <c r="B525" s="266"/>
      <c r="C525" s="266"/>
      <c r="D525" s="267"/>
      <c r="E525" s="267"/>
      <c r="F525" s="268"/>
      <c r="G525" s="268"/>
      <c r="H525" s="268"/>
      <c r="I525" s="268"/>
      <c r="J525" s="269"/>
    </row>
    <row r="526" spans="2:10">
      <c r="B526" s="266"/>
      <c r="C526" s="266"/>
      <c r="D526" s="267"/>
      <c r="E526" s="267"/>
      <c r="F526" s="268"/>
      <c r="G526" s="268"/>
      <c r="H526" s="268"/>
      <c r="I526" s="268"/>
      <c r="J526" s="269"/>
    </row>
    <row r="527" spans="2:10">
      <c r="B527" s="266"/>
      <c r="C527" s="266"/>
      <c r="D527" s="267"/>
      <c r="E527" s="267"/>
      <c r="F527" s="268"/>
      <c r="G527" s="268"/>
      <c r="H527" s="268"/>
      <c r="I527" s="268"/>
      <c r="J527" s="269"/>
    </row>
    <row r="528" spans="2:10">
      <c r="B528" s="686" t="s">
        <v>1011</v>
      </c>
      <c r="C528" s="687"/>
      <c r="D528" s="687"/>
      <c r="E528" s="687"/>
      <c r="F528" s="687"/>
      <c r="G528" s="687"/>
      <c r="H528" s="687"/>
      <c r="I528" s="688"/>
      <c r="J528" s="270">
        <f>ROUND(SUM(J514:J527),2)</f>
        <v>336.97</v>
      </c>
    </row>
    <row r="529" spans="2:10">
      <c r="B529" s="690"/>
      <c r="C529" s="690"/>
      <c r="D529" s="690"/>
      <c r="E529" s="690"/>
      <c r="F529" s="690"/>
      <c r="G529" s="690"/>
      <c r="H529" s="690"/>
      <c r="I529" s="690"/>
      <c r="J529" s="690"/>
    </row>
    <row r="530" spans="2:10" ht="30">
      <c r="B530" s="263" t="s">
        <v>1013</v>
      </c>
      <c r="C530" s="264" t="s">
        <v>1002</v>
      </c>
      <c r="D530" s="264" t="s">
        <v>1003</v>
      </c>
      <c r="E530" s="265" t="s">
        <v>1004</v>
      </c>
      <c r="F530" s="265" t="s">
        <v>1005</v>
      </c>
      <c r="G530" s="265" t="s">
        <v>1006</v>
      </c>
      <c r="H530" s="265" t="s">
        <v>1007</v>
      </c>
      <c r="I530" s="265" t="s">
        <v>1008</v>
      </c>
      <c r="J530" s="265" t="s">
        <v>1009</v>
      </c>
    </row>
    <row r="531" spans="2:10">
      <c r="B531" s="266"/>
      <c r="C531" s="267"/>
      <c r="D531" s="267"/>
      <c r="E531" s="268"/>
      <c r="F531" s="268"/>
      <c r="G531" s="268"/>
      <c r="H531" s="268"/>
      <c r="I531" s="268"/>
      <c r="J531" s="271"/>
    </row>
    <row r="532" spans="2:10">
      <c r="B532" s="266"/>
      <c r="C532" s="267"/>
      <c r="D532" s="267"/>
      <c r="E532" s="268"/>
      <c r="F532" s="268"/>
      <c r="G532" s="268"/>
      <c r="H532" s="268"/>
      <c r="I532" s="268"/>
      <c r="J532" s="271"/>
    </row>
    <row r="533" spans="2:10">
      <c r="B533" s="266"/>
      <c r="C533" s="267"/>
      <c r="D533" s="267"/>
      <c r="E533" s="268"/>
      <c r="F533" s="268"/>
      <c r="G533" s="268"/>
      <c r="H533" s="268"/>
      <c r="I533" s="268"/>
      <c r="J533" s="271"/>
    </row>
    <row r="534" spans="2:10">
      <c r="B534" s="266"/>
      <c r="C534" s="267"/>
      <c r="D534" s="267"/>
      <c r="E534" s="268"/>
      <c r="F534" s="268"/>
      <c r="G534" s="268"/>
      <c r="H534" s="268"/>
      <c r="I534" s="268"/>
      <c r="J534" s="271"/>
    </row>
    <row r="535" spans="2:10">
      <c r="B535" s="266"/>
      <c r="C535" s="266"/>
      <c r="D535" s="267"/>
      <c r="E535" s="267"/>
      <c r="F535" s="268"/>
      <c r="G535" s="268"/>
      <c r="H535" s="268"/>
      <c r="I535" s="268"/>
      <c r="J535" s="271"/>
    </row>
    <row r="536" spans="2:10">
      <c r="B536" s="686" t="s">
        <v>1011</v>
      </c>
      <c r="C536" s="687"/>
      <c r="D536" s="687"/>
      <c r="E536" s="687"/>
      <c r="F536" s="687"/>
      <c r="G536" s="687"/>
      <c r="H536" s="687"/>
      <c r="I536" s="688"/>
      <c r="J536" s="270">
        <f>ROUND(SUM(J531:J535),2)</f>
        <v>0</v>
      </c>
    </row>
    <row r="537" spans="2:10">
      <c r="B537" s="262"/>
      <c r="C537" s="262"/>
      <c r="D537" s="262"/>
      <c r="E537" s="262"/>
      <c r="F537" s="262"/>
      <c r="G537" s="262"/>
      <c r="H537" s="262"/>
      <c r="I537" s="262"/>
      <c r="J537" s="262"/>
    </row>
    <row r="538" spans="2:10">
      <c r="B538" s="691" t="s">
        <v>1014</v>
      </c>
      <c r="C538" s="691"/>
      <c r="D538" s="691"/>
      <c r="E538" s="691"/>
      <c r="F538" s="691"/>
      <c r="G538" s="691"/>
      <c r="H538" s="262"/>
      <c r="I538" s="262"/>
      <c r="J538" s="262"/>
    </row>
    <row r="539" spans="2:10">
      <c r="B539" s="692" t="s">
        <v>1015</v>
      </c>
      <c r="C539" s="693"/>
      <c r="D539" s="693"/>
      <c r="E539" s="694"/>
      <c r="F539" s="265" t="s">
        <v>1016</v>
      </c>
      <c r="G539" s="265" t="s">
        <v>1017</v>
      </c>
      <c r="H539" s="262"/>
      <c r="I539" s="262"/>
      <c r="J539" s="262"/>
    </row>
    <row r="540" spans="2:10">
      <c r="B540" s="678" t="s">
        <v>1018</v>
      </c>
      <c r="C540" s="679"/>
      <c r="D540" s="679"/>
      <c r="E540" s="680"/>
      <c r="F540" s="681">
        <f>$J$10</f>
        <v>0.91500000000000004</v>
      </c>
      <c r="G540" s="272">
        <f>J511</f>
        <v>14.79</v>
      </c>
      <c r="H540" s="262"/>
      <c r="I540" s="262"/>
      <c r="J540" s="262"/>
    </row>
    <row r="541" spans="2:10">
      <c r="B541" s="678" t="s">
        <v>1019</v>
      </c>
      <c r="C541" s="679"/>
      <c r="D541" s="679"/>
      <c r="E541" s="680"/>
      <c r="F541" s="695"/>
      <c r="G541" s="272">
        <f>J528</f>
        <v>336.97</v>
      </c>
      <c r="H541" s="262"/>
      <c r="I541" s="262"/>
      <c r="J541" s="262"/>
    </row>
    <row r="542" spans="2:10">
      <c r="B542" s="678" t="s">
        <v>1020</v>
      </c>
      <c r="C542" s="679"/>
      <c r="D542" s="679"/>
      <c r="E542" s="680"/>
      <c r="F542" s="695"/>
      <c r="G542" s="272">
        <f>J536</f>
        <v>0</v>
      </c>
      <c r="H542" s="262"/>
      <c r="I542" s="262"/>
      <c r="J542" s="262"/>
    </row>
    <row r="543" spans="2:10">
      <c r="B543" s="678" t="s">
        <v>1021</v>
      </c>
      <c r="C543" s="679"/>
      <c r="D543" s="679"/>
      <c r="E543" s="680"/>
      <c r="F543" s="695"/>
      <c r="G543" s="272">
        <v>1</v>
      </c>
      <c r="H543" s="262"/>
      <c r="I543" s="262"/>
      <c r="J543" s="262"/>
    </row>
    <row r="544" spans="2:10">
      <c r="B544" s="678" t="s">
        <v>1022</v>
      </c>
      <c r="C544" s="679"/>
      <c r="D544" s="679"/>
      <c r="E544" s="680"/>
      <c r="F544" s="695"/>
      <c r="G544" s="272">
        <f>G540+G542</f>
        <v>14.79</v>
      </c>
      <c r="H544" s="262"/>
      <c r="I544" s="262"/>
      <c r="J544" s="262"/>
    </row>
    <row r="545" spans="2:10">
      <c r="B545" s="678" t="s">
        <v>1023</v>
      </c>
      <c r="C545" s="679"/>
      <c r="D545" s="679"/>
      <c r="E545" s="680"/>
      <c r="F545" s="695"/>
      <c r="G545" s="272">
        <f>G544/G543</f>
        <v>14.79</v>
      </c>
      <c r="H545" s="262"/>
      <c r="I545" s="262"/>
      <c r="J545" s="262"/>
    </row>
    <row r="546" spans="2:10">
      <c r="B546" s="678" t="s">
        <v>1024</v>
      </c>
      <c r="C546" s="679"/>
      <c r="D546" s="679"/>
      <c r="E546" s="680"/>
      <c r="F546" s="682"/>
      <c r="G546" s="272">
        <f>G541+G545</f>
        <v>351.76000000000005</v>
      </c>
      <c r="H546" s="262"/>
      <c r="I546" s="262"/>
      <c r="J546" s="262"/>
    </row>
    <row r="547" spans="2:10">
      <c r="B547" s="678" t="s">
        <v>1025</v>
      </c>
      <c r="C547" s="679"/>
      <c r="D547" s="679"/>
      <c r="E547" s="680"/>
      <c r="F547" s="681">
        <f>$I$11</f>
        <v>0.28220000000000001</v>
      </c>
      <c r="G547" s="272">
        <f>G546*F547</f>
        <v>99.266672000000014</v>
      </c>
      <c r="H547" s="262"/>
      <c r="I547" s="262"/>
      <c r="J547" s="262"/>
    </row>
    <row r="548" spans="2:10">
      <c r="B548" s="683" t="s">
        <v>1026</v>
      </c>
      <c r="C548" s="684"/>
      <c r="D548" s="684"/>
      <c r="E548" s="685"/>
      <c r="F548" s="682"/>
      <c r="G548" s="273">
        <f>ROUND(SUM(G546+G547),2)</f>
        <v>451.03</v>
      </c>
      <c r="H548" s="262"/>
      <c r="I548" s="262"/>
      <c r="J548" s="262"/>
    </row>
    <row r="549" spans="2:10" ht="15.75" thickBot="1"/>
    <row r="550" spans="2:10" ht="15.75" thickBot="1">
      <c r="B550" s="696" t="s">
        <v>990</v>
      </c>
      <c r="C550" s="697"/>
      <c r="D550" s="697"/>
      <c r="E550" s="697"/>
      <c r="F550" s="697"/>
      <c r="G550" s="697"/>
      <c r="H550" s="697"/>
      <c r="I550" s="697"/>
      <c r="J550" s="698"/>
    </row>
    <row r="551" spans="2:10">
      <c r="B551" s="699" t="s">
        <v>7</v>
      </c>
      <c r="C551" s="699"/>
      <c r="D551" s="699"/>
      <c r="E551" s="699"/>
      <c r="F551" s="699"/>
      <c r="G551" s="699"/>
      <c r="H551" s="699"/>
      <c r="I551" s="699"/>
      <c r="J551" s="699"/>
    </row>
    <row r="552" spans="2:10" ht="15.75" thickBot="1">
      <c r="B552" s="699" t="s">
        <v>8</v>
      </c>
      <c r="C552" s="699"/>
      <c r="D552" s="699"/>
      <c r="E552" s="699"/>
      <c r="F552" s="699"/>
      <c r="G552" s="699"/>
      <c r="H552" s="699"/>
      <c r="I552" s="699"/>
      <c r="J552" s="699"/>
    </row>
    <row r="553" spans="2:10">
      <c r="B553" s="700" t="s">
        <v>991</v>
      </c>
      <c r="C553" s="249" t="s">
        <v>992</v>
      </c>
      <c r="D553" s="250">
        <v>6</v>
      </c>
      <c r="E553" s="251" t="s">
        <v>993</v>
      </c>
      <c r="F553" s="252">
        <v>2017</v>
      </c>
      <c r="G553" s="253"/>
      <c r="H553" s="253"/>
      <c r="I553" s="251" t="s">
        <v>994</v>
      </c>
      <c r="J553" s="306" t="s">
        <v>1116</v>
      </c>
    </row>
    <row r="554" spans="2:10">
      <c r="B554" s="701"/>
      <c r="C554" s="255" t="s">
        <v>995</v>
      </c>
      <c r="D554" s="703" t="s">
        <v>1115</v>
      </c>
      <c r="E554" s="704"/>
      <c r="F554" s="256"/>
      <c r="G554" s="256"/>
      <c r="H554" s="256"/>
      <c r="I554" s="256"/>
      <c r="J554" s="257"/>
    </row>
    <row r="555" spans="2:10" ht="15.75">
      <c r="B555" s="701"/>
      <c r="C555" s="255" t="s">
        <v>997</v>
      </c>
      <c r="D555" s="705" t="s">
        <v>1117</v>
      </c>
      <c r="E555" s="705"/>
      <c r="F555" s="705"/>
      <c r="G555" s="705"/>
      <c r="H555" s="705"/>
      <c r="I555" s="705"/>
      <c r="J555" s="706"/>
    </row>
    <row r="556" spans="2:10" ht="15.75" thickBot="1">
      <c r="B556" s="702"/>
      <c r="C556" s="258" t="s">
        <v>999</v>
      </c>
      <c r="D556" s="308" t="s">
        <v>698</v>
      </c>
      <c r="E556" s="260"/>
      <c r="F556" s="260"/>
      <c r="G556" s="260"/>
      <c r="H556" s="260"/>
      <c r="I556" s="260"/>
      <c r="J556" s="261"/>
    </row>
    <row r="557" spans="2:10">
      <c r="B557" s="262"/>
      <c r="C557" s="262"/>
      <c r="D557" s="262"/>
      <c r="E557" s="262"/>
      <c r="F557" s="262"/>
      <c r="G557" s="262"/>
      <c r="H557" s="262"/>
      <c r="I557" s="262"/>
      <c r="J557" s="262"/>
    </row>
    <row r="558" spans="2:10" ht="30">
      <c r="B558" s="263" t="s">
        <v>1001</v>
      </c>
      <c r="C558" s="264" t="s">
        <v>1002</v>
      </c>
      <c r="D558" s="264" t="s">
        <v>1003</v>
      </c>
      <c r="E558" s="265" t="s">
        <v>1004</v>
      </c>
      <c r="F558" s="265" t="s">
        <v>1005</v>
      </c>
      <c r="G558" s="265" t="s">
        <v>1006</v>
      </c>
      <c r="H558" s="265" t="s">
        <v>1007</v>
      </c>
      <c r="I558" s="265" t="s">
        <v>1008</v>
      </c>
      <c r="J558" s="265" t="s">
        <v>1009</v>
      </c>
    </row>
    <row r="559" spans="2:10">
      <c r="B559" s="295" t="s">
        <v>927</v>
      </c>
      <c r="C559" s="267" t="s">
        <v>897</v>
      </c>
      <c r="D559" s="267">
        <v>88247</v>
      </c>
      <c r="E559" s="268">
        <v>0.4</v>
      </c>
      <c r="F559" s="268"/>
      <c r="G559" s="302">
        <f>(17.1/1.915)</f>
        <v>8.9295039164490859</v>
      </c>
      <c r="H559" s="268">
        <v>0</v>
      </c>
      <c r="I559" s="268">
        <f t="shared" ref="I559:I561" si="16">ROUND(G559*(1+$J$10),2)</f>
        <v>17.100000000000001</v>
      </c>
      <c r="J559" s="269">
        <f>I559*E559</f>
        <v>6.8400000000000007</v>
      </c>
    </row>
    <row r="560" spans="2:10">
      <c r="B560" s="295" t="s">
        <v>928</v>
      </c>
      <c r="C560" s="267" t="s">
        <v>897</v>
      </c>
      <c r="D560" s="267">
        <v>88264</v>
      </c>
      <c r="E560" s="268">
        <v>0.4</v>
      </c>
      <c r="F560" s="268"/>
      <c r="G560" s="302">
        <f>21.24/1.915</f>
        <v>11.091383812010443</v>
      </c>
      <c r="H560" s="268">
        <v>0</v>
      </c>
      <c r="I560" s="268">
        <f t="shared" si="16"/>
        <v>21.24</v>
      </c>
      <c r="J560" s="269">
        <f>I560*E560</f>
        <v>8.4960000000000004</v>
      </c>
    </row>
    <row r="561" spans="2:10">
      <c r="B561" s="266"/>
      <c r="C561" s="267"/>
      <c r="D561" s="267"/>
      <c r="E561" s="268"/>
      <c r="F561" s="268"/>
      <c r="G561" s="268"/>
      <c r="H561" s="268">
        <v>0</v>
      </c>
      <c r="I561" s="268">
        <f t="shared" si="16"/>
        <v>0</v>
      </c>
      <c r="J561" s="269">
        <f>I561*E561</f>
        <v>0</v>
      </c>
    </row>
    <row r="562" spans="2:10">
      <c r="B562" s="266"/>
      <c r="C562" s="267"/>
      <c r="D562" s="267"/>
      <c r="E562" s="268"/>
      <c r="F562" s="268"/>
      <c r="G562" s="268"/>
      <c r="H562" s="268"/>
      <c r="I562" s="268"/>
      <c r="J562" s="269"/>
    </row>
    <row r="563" spans="2:10">
      <c r="B563" s="266"/>
      <c r="C563" s="267"/>
      <c r="D563" s="267"/>
      <c r="E563" s="268"/>
      <c r="F563" s="268"/>
      <c r="G563" s="268"/>
      <c r="H563" s="268"/>
      <c r="I563" s="268"/>
      <c r="J563" s="269"/>
    </row>
    <row r="564" spans="2:10">
      <c r="B564" s="266"/>
      <c r="C564" s="266"/>
      <c r="D564" s="267"/>
      <c r="E564" s="267"/>
      <c r="F564" s="268"/>
      <c r="G564" s="268"/>
      <c r="H564" s="268"/>
      <c r="I564" s="268"/>
      <c r="J564" s="269"/>
    </row>
    <row r="565" spans="2:10">
      <c r="B565" s="686" t="s">
        <v>1011</v>
      </c>
      <c r="C565" s="687"/>
      <c r="D565" s="687"/>
      <c r="E565" s="687"/>
      <c r="F565" s="687"/>
      <c r="G565" s="687"/>
      <c r="H565" s="687"/>
      <c r="I565" s="688"/>
      <c r="J565" s="270">
        <f>ROUND(SUM(J559:J564),2)</f>
        <v>15.34</v>
      </c>
    </row>
    <row r="566" spans="2:10">
      <c r="B566" s="689"/>
      <c r="C566" s="689"/>
      <c r="D566" s="689"/>
      <c r="E566" s="689"/>
      <c r="F566" s="689"/>
      <c r="G566" s="689"/>
      <c r="H566" s="689"/>
      <c r="I566" s="689"/>
      <c r="J566" s="689"/>
    </row>
    <row r="567" spans="2:10" ht="30">
      <c r="B567" s="263" t="s">
        <v>1012</v>
      </c>
      <c r="C567" s="264" t="s">
        <v>1002</v>
      </c>
      <c r="D567" s="264" t="s">
        <v>1072</v>
      </c>
      <c r="E567" s="265" t="s">
        <v>1004</v>
      </c>
      <c r="F567" s="265" t="s">
        <v>1005</v>
      </c>
      <c r="G567" s="265" t="s">
        <v>1006</v>
      </c>
      <c r="H567" s="265" t="s">
        <v>1007</v>
      </c>
      <c r="I567" s="265" t="s">
        <v>1008</v>
      </c>
      <c r="J567" s="265" t="s">
        <v>1009</v>
      </c>
    </row>
    <row r="568" spans="2:10" ht="30">
      <c r="B568" s="295" t="s">
        <v>1118</v>
      </c>
      <c r="C568" s="296" t="s">
        <v>698</v>
      </c>
      <c r="D568" s="267"/>
      <c r="E568" s="268">
        <v>1</v>
      </c>
      <c r="F568" s="268">
        <v>1</v>
      </c>
      <c r="G568" s="268">
        <v>21.92</v>
      </c>
      <c r="H568" s="268">
        <v>0</v>
      </c>
      <c r="I568" s="268">
        <f>G568</f>
        <v>21.92</v>
      </c>
      <c r="J568" s="269">
        <f>I568*E568</f>
        <v>21.92</v>
      </c>
    </row>
    <row r="569" spans="2:10">
      <c r="B569" s="295"/>
      <c r="C569" s="296"/>
      <c r="D569" s="267"/>
      <c r="E569" s="268"/>
      <c r="F569" s="268"/>
      <c r="G569" s="268"/>
      <c r="H569" s="268">
        <v>0</v>
      </c>
      <c r="I569" s="268">
        <f>G569</f>
        <v>0</v>
      </c>
      <c r="J569" s="269">
        <f>I569*E569</f>
        <v>0</v>
      </c>
    </row>
    <row r="570" spans="2:10">
      <c r="B570" s="295"/>
      <c r="C570" s="296"/>
      <c r="D570" s="267"/>
      <c r="E570" s="268"/>
      <c r="F570" s="268"/>
      <c r="G570" s="268"/>
      <c r="H570" s="268"/>
      <c r="I570" s="268"/>
      <c r="J570" s="269"/>
    </row>
    <row r="571" spans="2:10">
      <c r="B571" s="295"/>
      <c r="C571" s="296"/>
      <c r="D571" s="296"/>
      <c r="E571" s="268"/>
      <c r="F571" s="268"/>
      <c r="G571" s="268"/>
      <c r="H571" s="268"/>
      <c r="I571" s="268"/>
      <c r="J571" s="269"/>
    </row>
    <row r="572" spans="2:10">
      <c r="B572" s="295"/>
      <c r="C572" s="266"/>
      <c r="D572" s="267"/>
      <c r="E572" s="267"/>
      <c r="F572" s="268"/>
      <c r="G572" s="268"/>
      <c r="H572" s="268"/>
      <c r="I572" s="268"/>
      <c r="J572" s="269"/>
    </row>
    <row r="573" spans="2:10">
      <c r="B573" s="266"/>
      <c r="C573" s="266"/>
      <c r="D573" s="267"/>
      <c r="E573" s="267"/>
      <c r="F573" s="268"/>
      <c r="G573" s="268"/>
      <c r="H573" s="268"/>
      <c r="I573" s="268"/>
      <c r="J573" s="269"/>
    </row>
    <row r="574" spans="2:10">
      <c r="B574" s="266"/>
      <c r="C574" s="266"/>
      <c r="D574" s="267"/>
      <c r="E574" s="267"/>
      <c r="F574" s="268"/>
      <c r="G574" s="268"/>
      <c r="H574" s="268"/>
      <c r="I574" s="268"/>
      <c r="J574" s="269"/>
    </row>
    <row r="575" spans="2:10">
      <c r="B575" s="266"/>
      <c r="C575" s="266"/>
      <c r="D575" s="267"/>
      <c r="E575" s="267"/>
      <c r="F575" s="268"/>
      <c r="G575" s="268"/>
      <c r="H575" s="268"/>
      <c r="I575" s="268"/>
      <c r="J575" s="269"/>
    </row>
    <row r="576" spans="2:10">
      <c r="B576" s="266"/>
      <c r="C576" s="266"/>
      <c r="D576" s="267"/>
      <c r="E576" s="267"/>
      <c r="F576" s="268"/>
      <c r="G576" s="268"/>
      <c r="H576" s="268"/>
      <c r="I576" s="268"/>
      <c r="J576" s="269"/>
    </row>
    <row r="577" spans="2:10">
      <c r="B577" s="266"/>
      <c r="C577" s="266"/>
      <c r="D577" s="267"/>
      <c r="E577" s="267"/>
      <c r="F577" s="268"/>
      <c r="G577" s="268"/>
      <c r="H577" s="268"/>
      <c r="I577" s="268"/>
      <c r="J577" s="269"/>
    </row>
    <row r="578" spans="2:10">
      <c r="B578" s="266"/>
      <c r="C578" s="266"/>
      <c r="D578" s="267"/>
      <c r="E578" s="267"/>
      <c r="F578" s="268"/>
      <c r="G578" s="268"/>
      <c r="H578" s="268"/>
      <c r="I578" s="268"/>
      <c r="J578" s="269"/>
    </row>
    <row r="579" spans="2:10">
      <c r="B579" s="266"/>
      <c r="C579" s="266"/>
      <c r="D579" s="267"/>
      <c r="E579" s="267"/>
      <c r="F579" s="268"/>
      <c r="G579" s="268"/>
      <c r="H579" s="268"/>
      <c r="I579" s="268"/>
      <c r="J579" s="269"/>
    </row>
    <row r="580" spans="2:10">
      <c r="B580" s="266"/>
      <c r="C580" s="266"/>
      <c r="D580" s="267"/>
      <c r="E580" s="267"/>
      <c r="F580" s="268"/>
      <c r="G580" s="268"/>
      <c r="H580" s="268"/>
      <c r="I580" s="268"/>
      <c r="J580" s="269"/>
    </row>
    <row r="581" spans="2:10">
      <c r="B581" s="266"/>
      <c r="C581" s="266"/>
      <c r="D581" s="267"/>
      <c r="E581" s="267"/>
      <c r="F581" s="268"/>
      <c r="G581" s="268"/>
      <c r="H581" s="268"/>
      <c r="I581" s="268"/>
      <c r="J581" s="269"/>
    </row>
    <row r="582" spans="2:10">
      <c r="B582" s="266"/>
      <c r="C582" s="266"/>
      <c r="D582" s="267"/>
      <c r="E582" s="267"/>
      <c r="F582" s="268"/>
      <c r="G582" s="268"/>
      <c r="H582" s="268"/>
      <c r="I582" s="268"/>
      <c r="J582" s="269"/>
    </row>
    <row r="583" spans="2:10">
      <c r="B583" s="266"/>
      <c r="C583" s="266"/>
      <c r="D583" s="267"/>
      <c r="E583" s="267"/>
      <c r="F583" s="268"/>
      <c r="G583" s="268"/>
      <c r="H583" s="268"/>
      <c r="I583" s="268"/>
      <c r="J583" s="269"/>
    </row>
    <row r="584" spans="2:10">
      <c r="B584" s="266"/>
      <c r="C584" s="266"/>
      <c r="D584" s="267"/>
      <c r="E584" s="267"/>
      <c r="F584" s="268"/>
      <c r="G584" s="268"/>
      <c r="H584" s="268"/>
      <c r="I584" s="268"/>
      <c r="J584" s="269"/>
    </row>
    <row r="585" spans="2:10">
      <c r="B585" s="686" t="s">
        <v>1011</v>
      </c>
      <c r="C585" s="687"/>
      <c r="D585" s="687"/>
      <c r="E585" s="687"/>
      <c r="F585" s="687"/>
      <c r="G585" s="687"/>
      <c r="H585" s="687"/>
      <c r="I585" s="688"/>
      <c r="J585" s="270">
        <f>ROUND(SUM(J568:J584),2)</f>
        <v>21.92</v>
      </c>
    </row>
    <row r="586" spans="2:10">
      <c r="B586" s="690"/>
      <c r="C586" s="690"/>
      <c r="D586" s="690"/>
      <c r="E586" s="690"/>
      <c r="F586" s="690"/>
      <c r="G586" s="690"/>
      <c r="H586" s="690"/>
      <c r="I586" s="690"/>
      <c r="J586" s="690"/>
    </row>
    <row r="587" spans="2:10" ht="30">
      <c r="B587" s="263" t="s">
        <v>1013</v>
      </c>
      <c r="C587" s="264" t="s">
        <v>1002</v>
      </c>
      <c r="D587" s="264" t="s">
        <v>1003</v>
      </c>
      <c r="E587" s="265" t="s">
        <v>1004</v>
      </c>
      <c r="F587" s="265" t="s">
        <v>1005</v>
      </c>
      <c r="G587" s="265" t="s">
        <v>1006</v>
      </c>
      <c r="H587" s="265" t="s">
        <v>1007</v>
      </c>
      <c r="I587" s="265" t="s">
        <v>1008</v>
      </c>
      <c r="J587" s="265" t="s">
        <v>1009</v>
      </c>
    </row>
    <row r="588" spans="2:10">
      <c r="B588" s="266"/>
      <c r="C588" s="267"/>
      <c r="D588" s="267"/>
      <c r="E588" s="268"/>
      <c r="F588" s="268"/>
      <c r="G588" s="268"/>
      <c r="H588" s="268"/>
      <c r="I588" s="268"/>
      <c r="J588" s="271"/>
    </row>
    <row r="589" spans="2:10">
      <c r="B589" s="266"/>
      <c r="C589" s="267"/>
      <c r="D589" s="267"/>
      <c r="E589" s="268"/>
      <c r="F589" s="268"/>
      <c r="G589" s="268"/>
      <c r="H589" s="268"/>
      <c r="I589" s="268"/>
      <c r="J589" s="271"/>
    </row>
    <row r="590" spans="2:10">
      <c r="B590" s="266"/>
      <c r="C590" s="267"/>
      <c r="D590" s="267"/>
      <c r="E590" s="268"/>
      <c r="F590" s="268"/>
      <c r="G590" s="268"/>
      <c r="H590" s="268"/>
      <c r="I590" s="268"/>
      <c r="J590" s="271"/>
    </row>
    <row r="591" spans="2:10">
      <c r="B591" s="266"/>
      <c r="C591" s="267"/>
      <c r="D591" s="267"/>
      <c r="E591" s="268"/>
      <c r="F591" s="268"/>
      <c r="G591" s="268"/>
      <c r="H591" s="268"/>
      <c r="I591" s="268"/>
      <c r="J591" s="271"/>
    </row>
    <row r="592" spans="2:10">
      <c r="B592" s="266"/>
      <c r="C592" s="266"/>
      <c r="D592" s="267"/>
      <c r="E592" s="267"/>
      <c r="F592" s="268"/>
      <c r="G592" s="268"/>
      <c r="H592" s="268"/>
      <c r="I592" s="268"/>
      <c r="J592" s="271"/>
    </row>
    <row r="593" spans="2:10">
      <c r="B593" s="686" t="s">
        <v>1011</v>
      </c>
      <c r="C593" s="687"/>
      <c r="D593" s="687"/>
      <c r="E593" s="687"/>
      <c r="F593" s="687"/>
      <c r="G593" s="687"/>
      <c r="H593" s="687"/>
      <c r="I593" s="688"/>
      <c r="J593" s="270">
        <f>ROUND(SUM(J588:J592),2)</f>
        <v>0</v>
      </c>
    </row>
    <row r="594" spans="2:10">
      <c r="B594" s="262"/>
      <c r="C594" s="262"/>
      <c r="D594" s="262"/>
      <c r="E594" s="262"/>
      <c r="F594" s="262"/>
      <c r="G594" s="262"/>
      <c r="H594" s="262"/>
      <c r="I594" s="262"/>
      <c r="J594" s="262"/>
    </row>
    <row r="595" spans="2:10">
      <c r="B595" s="691" t="s">
        <v>1014</v>
      </c>
      <c r="C595" s="691"/>
      <c r="D595" s="691"/>
      <c r="E595" s="691"/>
      <c r="F595" s="691"/>
      <c r="G595" s="691"/>
      <c r="H595" s="262"/>
      <c r="I595" s="262"/>
      <c r="J595" s="262"/>
    </row>
    <row r="596" spans="2:10">
      <c r="B596" s="692" t="s">
        <v>1015</v>
      </c>
      <c r="C596" s="693"/>
      <c r="D596" s="693"/>
      <c r="E596" s="694"/>
      <c r="F596" s="265" t="s">
        <v>1016</v>
      </c>
      <c r="G596" s="265" t="s">
        <v>1017</v>
      </c>
      <c r="H596" s="262"/>
      <c r="I596" s="262"/>
      <c r="J596" s="262"/>
    </row>
    <row r="597" spans="2:10">
      <c r="B597" s="678" t="s">
        <v>1018</v>
      </c>
      <c r="C597" s="679"/>
      <c r="D597" s="679"/>
      <c r="E597" s="680"/>
      <c r="F597" s="681">
        <f>$J$10</f>
        <v>0.91500000000000004</v>
      </c>
      <c r="G597" s="272">
        <f>J565</f>
        <v>15.34</v>
      </c>
      <c r="H597" s="262"/>
      <c r="I597" s="262"/>
      <c r="J597" s="262"/>
    </row>
    <row r="598" spans="2:10">
      <c r="B598" s="678" t="s">
        <v>1019</v>
      </c>
      <c r="C598" s="679"/>
      <c r="D598" s="679"/>
      <c r="E598" s="680"/>
      <c r="F598" s="695"/>
      <c r="G598" s="272">
        <f>J585</f>
        <v>21.92</v>
      </c>
      <c r="H598" s="262"/>
      <c r="I598" s="262"/>
      <c r="J598" s="262"/>
    </row>
    <row r="599" spans="2:10">
      <c r="B599" s="678" t="s">
        <v>1020</v>
      </c>
      <c r="C599" s="679"/>
      <c r="D599" s="679"/>
      <c r="E599" s="680"/>
      <c r="F599" s="695"/>
      <c r="G599" s="272">
        <f>J593</f>
        <v>0</v>
      </c>
      <c r="H599" s="262"/>
      <c r="I599" s="262"/>
      <c r="J599" s="262"/>
    </row>
    <row r="600" spans="2:10">
      <c r="B600" s="678" t="s">
        <v>1021</v>
      </c>
      <c r="C600" s="679"/>
      <c r="D600" s="679"/>
      <c r="E600" s="680"/>
      <c r="F600" s="695"/>
      <c r="G600" s="272">
        <v>1</v>
      </c>
      <c r="H600" s="262"/>
      <c r="I600" s="262"/>
      <c r="J600" s="262"/>
    </row>
    <row r="601" spans="2:10">
      <c r="B601" s="678" t="s">
        <v>1022</v>
      </c>
      <c r="C601" s="679"/>
      <c r="D601" s="679"/>
      <c r="E601" s="680"/>
      <c r="F601" s="695"/>
      <c r="G601" s="272">
        <f>G597+G599</f>
        <v>15.34</v>
      </c>
      <c r="H601" s="262"/>
      <c r="I601" s="262"/>
      <c r="J601" s="262"/>
    </row>
    <row r="602" spans="2:10">
      <c r="B602" s="678" t="s">
        <v>1023</v>
      </c>
      <c r="C602" s="679"/>
      <c r="D602" s="679"/>
      <c r="E602" s="680"/>
      <c r="F602" s="695"/>
      <c r="G602" s="272">
        <f>G601/G600</f>
        <v>15.34</v>
      </c>
      <c r="H602" s="262"/>
      <c r="I602" s="262"/>
      <c r="J602" s="262"/>
    </row>
    <row r="603" spans="2:10">
      <c r="B603" s="678" t="s">
        <v>1024</v>
      </c>
      <c r="C603" s="679"/>
      <c r="D603" s="679"/>
      <c r="E603" s="680"/>
      <c r="F603" s="682"/>
      <c r="G603" s="272">
        <f>G598+G602</f>
        <v>37.260000000000005</v>
      </c>
      <c r="H603" s="262"/>
      <c r="I603" s="262"/>
      <c r="J603" s="262"/>
    </row>
    <row r="604" spans="2:10">
      <c r="B604" s="678" t="s">
        <v>1025</v>
      </c>
      <c r="C604" s="679"/>
      <c r="D604" s="679"/>
      <c r="E604" s="680"/>
      <c r="F604" s="681">
        <f>$I$11</f>
        <v>0.28220000000000001</v>
      </c>
      <c r="G604" s="272">
        <f>G603*F604</f>
        <v>10.514772000000002</v>
      </c>
      <c r="H604" s="262"/>
      <c r="I604" s="262"/>
      <c r="J604" s="262"/>
    </row>
    <row r="605" spans="2:10">
      <c r="B605" s="683" t="s">
        <v>1026</v>
      </c>
      <c r="C605" s="684"/>
      <c r="D605" s="684"/>
      <c r="E605" s="685"/>
      <c r="F605" s="682"/>
      <c r="G605" s="273">
        <f>ROUND(SUM(G603+G604),2)</f>
        <v>47.77</v>
      </c>
      <c r="H605" s="262"/>
      <c r="I605" s="262"/>
      <c r="J605" s="307"/>
    </row>
    <row r="606" spans="2:10" ht="15.75" thickBot="1"/>
    <row r="607" spans="2:10" ht="15.75" thickBot="1">
      <c r="B607" s="696" t="s">
        <v>990</v>
      </c>
      <c r="C607" s="697"/>
      <c r="D607" s="697"/>
      <c r="E607" s="697"/>
      <c r="F607" s="697"/>
      <c r="G607" s="697"/>
      <c r="H607" s="697"/>
      <c r="I607" s="697"/>
      <c r="J607" s="698"/>
    </row>
    <row r="608" spans="2:10">
      <c r="B608" s="699" t="s">
        <v>7</v>
      </c>
      <c r="C608" s="699"/>
      <c r="D608" s="699"/>
      <c r="E608" s="699"/>
      <c r="F608" s="699"/>
      <c r="G608" s="699"/>
      <c r="H608" s="699"/>
      <c r="I608" s="699"/>
      <c r="J608" s="699"/>
    </row>
    <row r="609" spans="2:10" ht="15.75" thickBot="1">
      <c r="B609" s="699" t="s">
        <v>8</v>
      </c>
      <c r="C609" s="699"/>
      <c r="D609" s="699"/>
      <c r="E609" s="699"/>
      <c r="F609" s="699"/>
      <c r="G609" s="699"/>
      <c r="H609" s="699"/>
      <c r="I609" s="699"/>
      <c r="J609" s="699"/>
    </row>
    <row r="610" spans="2:10">
      <c r="B610" s="700" t="s">
        <v>991</v>
      </c>
      <c r="C610" s="249" t="s">
        <v>992</v>
      </c>
      <c r="D610" s="250">
        <v>6</v>
      </c>
      <c r="E610" s="251" t="s">
        <v>993</v>
      </c>
      <c r="F610" s="252">
        <v>2017</v>
      </c>
      <c r="G610" s="253"/>
      <c r="H610" s="253"/>
      <c r="I610" s="251" t="s">
        <v>994</v>
      </c>
      <c r="J610" s="306" t="s">
        <v>1120</v>
      </c>
    </row>
    <row r="611" spans="2:10">
      <c r="B611" s="701"/>
      <c r="C611" s="255" t="s">
        <v>995</v>
      </c>
      <c r="D611" s="703" t="s">
        <v>1119</v>
      </c>
      <c r="E611" s="704"/>
      <c r="F611" s="256"/>
      <c r="G611" s="256"/>
      <c r="H611" s="256"/>
      <c r="I611" s="256"/>
      <c r="J611" s="257"/>
    </row>
    <row r="612" spans="2:10" ht="15.75">
      <c r="B612" s="701"/>
      <c r="C612" s="255" t="s">
        <v>997</v>
      </c>
      <c r="D612" s="705" t="s">
        <v>1121</v>
      </c>
      <c r="E612" s="705"/>
      <c r="F612" s="705"/>
      <c r="G612" s="705"/>
      <c r="H612" s="705"/>
      <c r="I612" s="705"/>
      <c r="J612" s="706"/>
    </row>
    <row r="613" spans="2:10" ht="15.75" thickBot="1">
      <c r="B613" s="702"/>
      <c r="C613" s="258" t="s">
        <v>999</v>
      </c>
      <c r="D613" s="308" t="s">
        <v>698</v>
      </c>
      <c r="E613" s="260"/>
      <c r="F613" s="260"/>
      <c r="G613" s="260"/>
      <c r="H613" s="260"/>
      <c r="I613" s="260"/>
      <c r="J613" s="261"/>
    </row>
    <row r="614" spans="2:10">
      <c r="B614" s="262"/>
      <c r="C614" s="262"/>
      <c r="D614" s="262"/>
      <c r="E614" s="262"/>
      <c r="F614" s="262"/>
      <c r="G614" s="262"/>
      <c r="H614" s="262"/>
      <c r="I614" s="262"/>
      <c r="J614" s="262"/>
    </row>
    <row r="615" spans="2:10" ht="30">
      <c r="B615" s="263" t="s">
        <v>1001</v>
      </c>
      <c r="C615" s="264" t="s">
        <v>1002</v>
      </c>
      <c r="D615" s="264" t="s">
        <v>1003</v>
      </c>
      <c r="E615" s="265" t="s">
        <v>1004</v>
      </c>
      <c r="F615" s="265" t="s">
        <v>1005</v>
      </c>
      <c r="G615" s="265" t="s">
        <v>1006</v>
      </c>
      <c r="H615" s="265" t="s">
        <v>1007</v>
      </c>
      <c r="I615" s="265" t="s">
        <v>1008</v>
      </c>
      <c r="J615" s="265" t="s">
        <v>1009</v>
      </c>
    </row>
    <row r="616" spans="2:10">
      <c r="B616" s="295" t="s">
        <v>927</v>
      </c>
      <c r="C616" s="267" t="s">
        <v>897</v>
      </c>
      <c r="D616" s="267">
        <v>88247</v>
      </c>
      <c r="E616" s="268">
        <v>0.65</v>
      </c>
      <c r="F616" s="268"/>
      <c r="G616" s="302">
        <f>(17.1/1.915)</f>
        <v>8.9295039164490859</v>
      </c>
      <c r="H616" s="268">
        <v>0</v>
      </c>
      <c r="I616" s="268">
        <f t="shared" ref="I616:I618" si="17">ROUND(G616*(1+$J$10),2)</f>
        <v>17.100000000000001</v>
      </c>
      <c r="J616" s="269">
        <f>I616*E616</f>
        <v>11.115000000000002</v>
      </c>
    </row>
    <row r="617" spans="2:10">
      <c r="B617" s="295" t="s">
        <v>928</v>
      </c>
      <c r="C617" s="267" t="s">
        <v>897</v>
      </c>
      <c r="D617" s="267">
        <v>88264</v>
      </c>
      <c r="E617" s="268">
        <v>0.65</v>
      </c>
      <c r="F617" s="268"/>
      <c r="G617" s="302">
        <f>21.24/1.915</f>
        <v>11.091383812010443</v>
      </c>
      <c r="H617" s="268">
        <v>0</v>
      </c>
      <c r="I617" s="268">
        <f t="shared" si="17"/>
        <v>21.24</v>
      </c>
      <c r="J617" s="269">
        <f>I617*E617</f>
        <v>13.805999999999999</v>
      </c>
    </row>
    <row r="618" spans="2:10">
      <c r="B618" s="266"/>
      <c r="C618" s="267"/>
      <c r="D618" s="267"/>
      <c r="E618" s="268"/>
      <c r="F618" s="268"/>
      <c r="G618" s="268"/>
      <c r="H618" s="268">
        <v>0</v>
      </c>
      <c r="I618" s="268">
        <f t="shared" si="17"/>
        <v>0</v>
      </c>
      <c r="J618" s="269">
        <f>I618*E618</f>
        <v>0</v>
      </c>
    </row>
    <row r="619" spans="2:10">
      <c r="B619" s="266"/>
      <c r="C619" s="267"/>
      <c r="D619" s="267"/>
      <c r="E619" s="268"/>
      <c r="F619" s="268"/>
      <c r="G619" s="268"/>
      <c r="H619" s="268"/>
      <c r="I619" s="268"/>
      <c r="J619" s="269"/>
    </row>
    <row r="620" spans="2:10">
      <c r="B620" s="266"/>
      <c r="C620" s="267"/>
      <c r="D620" s="267"/>
      <c r="E620" s="268"/>
      <c r="F620" s="268"/>
      <c r="G620" s="268"/>
      <c r="H620" s="268"/>
      <c r="I620" s="268"/>
      <c r="J620" s="269"/>
    </row>
    <row r="621" spans="2:10">
      <c r="B621" s="266"/>
      <c r="C621" s="266"/>
      <c r="D621" s="267"/>
      <c r="E621" s="267"/>
      <c r="F621" s="268"/>
      <c r="G621" s="268"/>
      <c r="H621" s="268"/>
      <c r="I621" s="268"/>
      <c r="J621" s="269"/>
    </row>
    <row r="622" spans="2:10">
      <c r="B622" s="686" t="s">
        <v>1011</v>
      </c>
      <c r="C622" s="687"/>
      <c r="D622" s="687"/>
      <c r="E622" s="687"/>
      <c r="F622" s="687"/>
      <c r="G622" s="687"/>
      <c r="H622" s="687"/>
      <c r="I622" s="688"/>
      <c r="J622" s="270">
        <f>ROUND(SUM(J616:J621),2)</f>
        <v>24.92</v>
      </c>
    </row>
    <row r="623" spans="2:10">
      <c r="B623" s="689"/>
      <c r="C623" s="689"/>
      <c r="D623" s="689"/>
      <c r="E623" s="689"/>
      <c r="F623" s="689"/>
      <c r="G623" s="689"/>
      <c r="H623" s="689"/>
      <c r="I623" s="689"/>
      <c r="J623" s="689"/>
    </row>
    <row r="624" spans="2:10" ht="30">
      <c r="B624" s="263" t="s">
        <v>1012</v>
      </c>
      <c r="C624" s="264" t="s">
        <v>1002</v>
      </c>
      <c r="D624" s="264" t="s">
        <v>1072</v>
      </c>
      <c r="E624" s="265" t="s">
        <v>1004</v>
      </c>
      <c r="F624" s="265" t="s">
        <v>1005</v>
      </c>
      <c r="G624" s="265" t="s">
        <v>1006</v>
      </c>
      <c r="H624" s="265" t="s">
        <v>1007</v>
      </c>
      <c r="I624" s="265" t="s">
        <v>1008</v>
      </c>
      <c r="J624" s="265" t="s">
        <v>1009</v>
      </c>
    </row>
    <row r="625" spans="2:10">
      <c r="B625" s="295" t="s">
        <v>1122</v>
      </c>
      <c r="C625" s="296" t="s">
        <v>698</v>
      </c>
      <c r="D625" s="267"/>
      <c r="E625" s="268">
        <v>1</v>
      </c>
      <c r="F625" s="268">
        <v>1</v>
      </c>
      <c r="G625" s="268">
        <v>44.02</v>
      </c>
      <c r="H625" s="268">
        <v>0</v>
      </c>
      <c r="I625" s="268">
        <f>G625</f>
        <v>44.02</v>
      </c>
      <c r="J625" s="269">
        <f>I625*E625</f>
        <v>44.02</v>
      </c>
    </row>
    <row r="626" spans="2:10">
      <c r="B626" s="295"/>
      <c r="C626" s="296"/>
      <c r="D626" s="267"/>
      <c r="E626" s="268"/>
      <c r="F626" s="268"/>
      <c r="G626" s="268"/>
      <c r="H626" s="268">
        <v>0</v>
      </c>
      <c r="I626" s="268">
        <f>G626</f>
        <v>0</v>
      </c>
      <c r="J626" s="269">
        <f>I626*E626</f>
        <v>0</v>
      </c>
    </row>
    <row r="627" spans="2:10">
      <c r="B627" s="295"/>
      <c r="C627" s="296"/>
      <c r="D627" s="267"/>
      <c r="E627" s="268"/>
      <c r="F627" s="268"/>
      <c r="G627" s="268"/>
      <c r="H627" s="268"/>
      <c r="I627" s="268"/>
      <c r="J627" s="269"/>
    </row>
    <row r="628" spans="2:10">
      <c r="B628" s="295"/>
      <c r="C628" s="296"/>
      <c r="D628" s="296"/>
      <c r="E628" s="268"/>
      <c r="F628" s="268"/>
      <c r="G628" s="268"/>
      <c r="H628" s="268"/>
      <c r="I628" s="268"/>
      <c r="J628" s="269"/>
    </row>
    <row r="629" spans="2:10">
      <c r="B629" s="295"/>
      <c r="C629" s="266"/>
      <c r="D629" s="267"/>
      <c r="E629" s="267"/>
      <c r="F629" s="268"/>
      <c r="G629" s="268"/>
      <c r="H629" s="268"/>
      <c r="I629" s="268"/>
      <c r="J629" s="269"/>
    </row>
    <row r="630" spans="2:10">
      <c r="B630" s="266"/>
      <c r="C630" s="266"/>
      <c r="D630" s="267"/>
      <c r="E630" s="267"/>
      <c r="F630" s="268"/>
      <c r="G630" s="268"/>
      <c r="H630" s="268"/>
      <c r="I630" s="268"/>
      <c r="J630" s="269"/>
    </row>
    <row r="631" spans="2:10">
      <c r="B631" s="266"/>
      <c r="C631" s="266"/>
      <c r="D631" s="267"/>
      <c r="E631" s="267"/>
      <c r="F631" s="268"/>
      <c r="G631" s="268"/>
      <c r="H631" s="268"/>
      <c r="I631" s="268"/>
      <c r="J631" s="269"/>
    </row>
    <row r="632" spans="2:10">
      <c r="B632" s="266"/>
      <c r="C632" s="266"/>
      <c r="D632" s="267"/>
      <c r="E632" s="267"/>
      <c r="F632" s="268"/>
      <c r="G632" s="268"/>
      <c r="H632" s="268"/>
      <c r="I632" s="268"/>
      <c r="J632" s="269"/>
    </row>
    <row r="633" spans="2:10">
      <c r="B633" s="266"/>
      <c r="C633" s="266"/>
      <c r="D633" s="267"/>
      <c r="E633" s="267"/>
      <c r="F633" s="268"/>
      <c r="G633" s="268"/>
      <c r="H633" s="268"/>
      <c r="I633" s="268"/>
      <c r="J633" s="269"/>
    </row>
    <row r="634" spans="2:10">
      <c r="B634" s="266"/>
      <c r="C634" s="266"/>
      <c r="D634" s="267"/>
      <c r="E634" s="267"/>
      <c r="F634" s="268"/>
      <c r="G634" s="268"/>
      <c r="H634" s="268"/>
      <c r="I634" s="268"/>
      <c r="J634" s="269"/>
    </row>
    <row r="635" spans="2:10">
      <c r="B635" s="266"/>
      <c r="C635" s="266"/>
      <c r="D635" s="267"/>
      <c r="E635" s="267"/>
      <c r="F635" s="268"/>
      <c r="G635" s="268"/>
      <c r="H635" s="268"/>
      <c r="I635" s="268"/>
      <c r="J635" s="269"/>
    </row>
    <row r="636" spans="2:10">
      <c r="B636" s="266"/>
      <c r="C636" s="266"/>
      <c r="D636" s="267"/>
      <c r="E636" s="267"/>
      <c r="F636" s="268"/>
      <c r="G636" s="268"/>
      <c r="H636" s="268"/>
      <c r="I636" s="268"/>
      <c r="J636" s="269"/>
    </row>
    <row r="637" spans="2:10">
      <c r="B637" s="266"/>
      <c r="C637" s="266"/>
      <c r="D637" s="267"/>
      <c r="E637" s="267"/>
      <c r="F637" s="268"/>
      <c r="G637" s="268"/>
      <c r="H637" s="268"/>
      <c r="I637" s="268"/>
      <c r="J637" s="269"/>
    </row>
    <row r="638" spans="2:10">
      <c r="B638" s="266"/>
      <c r="C638" s="266"/>
      <c r="D638" s="267"/>
      <c r="E638" s="267"/>
      <c r="F638" s="268"/>
      <c r="G638" s="268"/>
      <c r="H638" s="268"/>
      <c r="I638" s="268"/>
      <c r="J638" s="269"/>
    </row>
    <row r="639" spans="2:10">
      <c r="B639" s="266"/>
      <c r="C639" s="266"/>
      <c r="D639" s="267"/>
      <c r="E639" s="267"/>
      <c r="F639" s="268"/>
      <c r="G639" s="268"/>
      <c r="H639" s="268"/>
      <c r="I639" s="268"/>
      <c r="J639" s="269"/>
    </row>
    <row r="640" spans="2:10">
      <c r="B640" s="266"/>
      <c r="C640" s="266"/>
      <c r="D640" s="267"/>
      <c r="E640" s="267"/>
      <c r="F640" s="268"/>
      <c r="G640" s="268"/>
      <c r="H640" s="268"/>
      <c r="I640" s="268"/>
      <c r="J640" s="269"/>
    </row>
    <row r="641" spans="2:10">
      <c r="B641" s="266"/>
      <c r="C641" s="266"/>
      <c r="D641" s="267"/>
      <c r="E641" s="267"/>
      <c r="F641" s="268"/>
      <c r="G641" s="268"/>
      <c r="H641" s="268"/>
      <c r="I641" s="268"/>
      <c r="J641" s="269"/>
    </row>
    <row r="642" spans="2:10">
      <c r="B642" s="266"/>
      <c r="C642" s="266"/>
      <c r="D642" s="267"/>
      <c r="E642" s="267"/>
      <c r="F642" s="268"/>
      <c r="G642" s="268"/>
      <c r="H642" s="268"/>
      <c r="I642" s="268"/>
      <c r="J642" s="269"/>
    </row>
    <row r="643" spans="2:10">
      <c r="B643" s="686" t="s">
        <v>1011</v>
      </c>
      <c r="C643" s="687"/>
      <c r="D643" s="687"/>
      <c r="E643" s="687"/>
      <c r="F643" s="687"/>
      <c r="G643" s="687"/>
      <c r="H643" s="687"/>
      <c r="I643" s="688"/>
      <c r="J643" s="270">
        <f>ROUND(SUM(J625:J642),2)</f>
        <v>44.02</v>
      </c>
    </row>
    <row r="644" spans="2:10">
      <c r="B644" s="690"/>
      <c r="C644" s="690"/>
      <c r="D644" s="690"/>
      <c r="E644" s="690"/>
      <c r="F644" s="690"/>
      <c r="G644" s="690"/>
      <c r="H644" s="690"/>
      <c r="I644" s="690"/>
      <c r="J644" s="690"/>
    </row>
    <row r="645" spans="2:10" ht="30">
      <c r="B645" s="263" t="s">
        <v>1013</v>
      </c>
      <c r="C645" s="264" t="s">
        <v>1002</v>
      </c>
      <c r="D645" s="264" t="s">
        <v>1003</v>
      </c>
      <c r="E645" s="265" t="s">
        <v>1004</v>
      </c>
      <c r="F645" s="265" t="s">
        <v>1005</v>
      </c>
      <c r="G645" s="265" t="s">
        <v>1006</v>
      </c>
      <c r="H645" s="265" t="s">
        <v>1007</v>
      </c>
      <c r="I645" s="265" t="s">
        <v>1008</v>
      </c>
      <c r="J645" s="265" t="s">
        <v>1009</v>
      </c>
    </row>
    <row r="646" spans="2:10">
      <c r="B646" s="266"/>
      <c r="C646" s="267"/>
      <c r="D646" s="267"/>
      <c r="E646" s="268"/>
      <c r="F646" s="268"/>
      <c r="G646" s="268"/>
      <c r="H646" s="268"/>
      <c r="I646" s="268"/>
      <c r="J646" s="271"/>
    </row>
    <row r="647" spans="2:10">
      <c r="B647" s="266"/>
      <c r="C647" s="267"/>
      <c r="D647" s="267"/>
      <c r="E647" s="268"/>
      <c r="F647" s="268"/>
      <c r="G647" s="268"/>
      <c r="H647" s="268"/>
      <c r="I647" s="268"/>
      <c r="J647" s="271"/>
    </row>
    <row r="648" spans="2:10">
      <c r="B648" s="266"/>
      <c r="C648" s="267"/>
      <c r="D648" s="267"/>
      <c r="E648" s="268"/>
      <c r="F648" s="268"/>
      <c r="G648" s="268"/>
      <c r="H648" s="268"/>
      <c r="I648" s="268"/>
      <c r="J648" s="271"/>
    </row>
    <row r="649" spans="2:10">
      <c r="B649" s="266"/>
      <c r="C649" s="267"/>
      <c r="D649" s="267"/>
      <c r="E649" s="268"/>
      <c r="F649" s="268"/>
      <c r="G649" s="268"/>
      <c r="H649" s="268"/>
      <c r="I649" s="268"/>
      <c r="J649" s="271"/>
    </row>
    <row r="650" spans="2:10">
      <c r="B650" s="266"/>
      <c r="C650" s="266"/>
      <c r="D650" s="267"/>
      <c r="E650" s="267"/>
      <c r="F650" s="268"/>
      <c r="G650" s="268"/>
      <c r="H650" s="268"/>
      <c r="I650" s="268"/>
      <c r="J650" s="271"/>
    </row>
    <row r="651" spans="2:10">
      <c r="B651" s="686" t="s">
        <v>1011</v>
      </c>
      <c r="C651" s="687"/>
      <c r="D651" s="687"/>
      <c r="E651" s="687"/>
      <c r="F651" s="687"/>
      <c r="G651" s="687"/>
      <c r="H651" s="687"/>
      <c r="I651" s="688"/>
      <c r="J651" s="270">
        <f>ROUND(SUM(J646:J650),2)</f>
        <v>0</v>
      </c>
    </row>
    <row r="652" spans="2:10">
      <c r="B652" s="262"/>
      <c r="C652" s="262"/>
      <c r="D652" s="262"/>
      <c r="E652" s="262"/>
      <c r="F652" s="262"/>
      <c r="G652" s="262"/>
      <c r="H652" s="262"/>
      <c r="I652" s="262"/>
      <c r="J652" s="262"/>
    </row>
    <row r="653" spans="2:10">
      <c r="B653" s="691" t="s">
        <v>1014</v>
      </c>
      <c r="C653" s="691"/>
      <c r="D653" s="691"/>
      <c r="E653" s="691"/>
      <c r="F653" s="691"/>
      <c r="G653" s="691"/>
      <c r="H653" s="262"/>
      <c r="I653" s="262"/>
      <c r="J653" s="262"/>
    </row>
    <row r="654" spans="2:10">
      <c r="B654" s="692" t="s">
        <v>1015</v>
      </c>
      <c r="C654" s="693"/>
      <c r="D654" s="693"/>
      <c r="E654" s="694"/>
      <c r="F654" s="265" t="s">
        <v>1016</v>
      </c>
      <c r="G654" s="265" t="s">
        <v>1017</v>
      </c>
      <c r="H654" s="262"/>
      <c r="I654" s="262"/>
      <c r="J654" s="262"/>
    </row>
    <row r="655" spans="2:10">
      <c r="B655" s="678" t="s">
        <v>1018</v>
      </c>
      <c r="C655" s="679"/>
      <c r="D655" s="679"/>
      <c r="E655" s="680"/>
      <c r="F655" s="681">
        <f>$J$10</f>
        <v>0.91500000000000004</v>
      </c>
      <c r="G655" s="272">
        <f>J622</f>
        <v>24.92</v>
      </c>
      <c r="H655" s="262"/>
      <c r="I655" s="262"/>
      <c r="J655" s="262"/>
    </row>
    <row r="656" spans="2:10">
      <c r="B656" s="678" t="s">
        <v>1019</v>
      </c>
      <c r="C656" s="679"/>
      <c r="D656" s="679"/>
      <c r="E656" s="680"/>
      <c r="F656" s="695"/>
      <c r="G656" s="272">
        <f>J643</f>
        <v>44.02</v>
      </c>
      <c r="H656" s="262"/>
      <c r="I656" s="262"/>
      <c r="J656" s="262"/>
    </row>
    <row r="657" spans="2:10">
      <c r="B657" s="678" t="s">
        <v>1020</v>
      </c>
      <c r="C657" s="679"/>
      <c r="D657" s="679"/>
      <c r="E657" s="680"/>
      <c r="F657" s="695"/>
      <c r="G657" s="272">
        <f>J651</f>
        <v>0</v>
      </c>
      <c r="H657" s="262"/>
      <c r="I657" s="262"/>
      <c r="J657" s="262"/>
    </row>
    <row r="658" spans="2:10">
      <c r="B658" s="678" t="s">
        <v>1021</v>
      </c>
      <c r="C658" s="679"/>
      <c r="D658" s="679"/>
      <c r="E658" s="680"/>
      <c r="F658" s="695"/>
      <c r="G658" s="272">
        <v>1</v>
      </c>
      <c r="H658" s="262"/>
      <c r="I658" s="262"/>
      <c r="J658" s="262"/>
    </row>
    <row r="659" spans="2:10">
      <c r="B659" s="678" t="s">
        <v>1022</v>
      </c>
      <c r="C659" s="679"/>
      <c r="D659" s="679"/>
      <c r="E659" s="680"/>
      <c r="F659" s="695"/>
      <c r="G659" s="272">
        <f>G655+G657</f>
        <v>24.92</v>
      </c>
      <c r="H659" s="262"/>
      <c r="I659" s="262"/>
      <c r="J659" s="262"/>
    </row>
    <row r="660" spans="2:10">
      <c r="B660" s="678" t="s">
        <v>1023</v>
      </c>
      <c r="C660" s="679"/>
      <c r="D660" s="679"/>
      <c r="E660" s="680"/>
      <c r="F660" s="695"/>
      <c r="G660" s="272">
        <f>G659/G658</f>
        <v>24.92</v>
      </c>
      <c r="H660" s="262"/>
      <c r="I660" s="262"/>
      <c r="J660" s="262"/>
    </row>
    <row r="661" spans="2:10">
      <c r="B661" s="678" t="s">
        <v>1024</v>
      </c>
      <c r="C661" s="679"/>
      <c r="D661" s="679"/>
      <c r="E661" s="680"/>
      <c r="F661" s="682"/>
      <c r="G661" s="272">
        <f>G656+G660</f>
        <v>68.94</v>
      </c>
      <c r="H661" s="262"/>
      <c r="I661" s="262"/>
      <c r="J661" s="262"/>
    </row>
    <row r="662" spans="2:10">
      <c r="B662" s="678" t="s">
        <v>1025</v>
      </c>
      <c r="C662" s="679"/>
      <c r="D662" s="679"/>
      <c r="E662" s="680"/>
      <c r="F662" s="681">
        <f>$I$11</f>
        <v>0.28220000000000001</v>
      </c>
      <c r="G662" s="272">
        <f>G661*F662</f>
        <v>19.454868000000001</v>
      </c>
      <c r="H662" s="262"/>
      <c r="I662" s="262"/>
      <c r="J662" s="262"/>
    </row>
    <row r="663" spans="2:10">
      <c r="B663" s="683" t="s">
        <v>1026</v>
      </c>
      <c r="C663" s="684"/>
      <c r="D663" s="684"/>
      <c r="E663" s="685"/>
      <c r="F663" s="682"/>
      <c r="G663" s="273">
        <f>ROUND(SUM(G661+G662),2)</f>
        <v>88.39</v>
      </c>
      <c r="H663" s="262"/>
      <c r="I663" s="262"/>
      <c r="J663" s="307"/>
    </row>
    <row r="664" spans="2:10" ht="15.75" thickBot="1"/>
    <row r="665" spans="2:10" ht="15.75" thickBot="1">
      <c r="B665" s="696" t="s">
        <v>990</v>
      </c>
      <c r="C665" s="697"/>
      <c r="D665" s="697"/>
      <c r="E665" s="697"/>
      <c r="F665" s="697"/>
      <c r="G665" s="697"/>
      <c r="H665" s="697"/>
      <c r="I665" s="697"/>
      <c r="J665" s="698"/>
    </row>
    <row r="666" spans="2:10">
      <c r="B666" s="699" t="s">
        <v>7</v>
      </c>
      <c r="C666" s="699"/>
      <c r="D666" s="699"/>
      <c r="E666" s="699"/>
      <c r="F666" s="699"/>
      <c r="G666" s="699"/>
      <c r="H666" s="699"/>
      <c r="I666" s="699"/>
      <c r="J666" s="699"/>
    </row>
    <row r="667" spans="2:10" ht="15.75" thickBot="1">
      <c r="B667" s="699" t="s">
        <v>8</v>
      </c>
      <c r="C667" s="699"/>
      <c r="D667" s="699"/>
      <c r="E667" s="699"/>
      <c r="F667" s="699"/>
      <c r="G667" s="699"/>
      <c r="H667" s="699"/>
      <c r="I667" s="699"/>
      <c r="J667" s="699"/>
    </row>
    <row r="668" spans="2:10">
      <c r="B668" s="700" t="s">
        <v>991</v>
      </c>
      <c r="C668" s="249" t="s">
        <v>992</v>
      </c>
      <c r="D668" s="250">
        <v>6</v>
      </c>
      <c r="E668" s="251" t="s">
        <v>993</v>
      </c>
      <c r="F668" s="252">
        <v>2017</v>
      </c>
      <c r="G668" s="253"/>
      <c r="H668" s="253"/>
      <c r="I668" s="251" t="s">
        <v>994</v>
      </c>
      <c r="J668" s="306" t="s">
        <v>1124</v>
      </c>
    </row>
    <row r="669" spans="2:10">
      <c r="B669" s="701"/>
      <c r="C669" s="255" t="s">
        <v>995</v>
      </c>
      <c r="D669" s="703" t="s">
        <v>1123</v>
      </c>
      <c r="E669" s="704"/>
      <c r="F669" s="256"/>
      <c r="G669" s="256"/>
      <c r="H669" s="256"/>
      <c r="I669" s="256"/>
      <c r="J669" s="257"/>
    </row>
    <row r="670" spans="2:10" ht="30.75" customHeight="1">
      <c r="B670" s="701"/>
      <c r="C670" s="255" t="s">
        <v>997</v>
      </c>
      <c r="D670" s="705" t="s">
        <v>434</v>
      </c>
      <c r="E670" s="705"/>
      <c r="F670" s="705"/>
      <c r="G670" s="705"/>
      <c r="H670" s="705"/>
      <c r="I670" s="705"/>
      <c r="J670" s="706"/>
    </row>
    <row r="671" spans="2:10" ht="15.75" thickBot="1">
      <c r="B671" s="702"/>
      <c r="C671" s="258" t="s">
        <v>999</v>
      </c>
      <c r="D671" s="308" t="s">
        <v>801</v>
      </c>
      <c r="E671" s="260"/>
      <c r="F671" s="260"/>
      <c r="G671" s="260"/>
      <c r="H671" s="260"/>
      <c r="I671" s="260"/>
      <c r="J671" s="261"/>
    </row>
    <row r="672" spans="2:10">
      <c r="B672" s="262"/>
      <c r="C672" s="262"/>
      <c r="D672" s="262"/>
      <c r="E672" s="262"/>
      <c r="F672" s="262"/>
      <c r="G672" s="262"/>
      <c r="H672" s="262"/>
      <c r="I672" s="262"/>
      <c r="J672" s="262"/>
    </row>
    <row r="673" spans="2:10" ht="30">
      <c r="B673" s="263" t="s">
        <v>1001</v>
      </c>
      <c r="C673" s="264" t="s">
        <v>1002</v>
      </c>
      <c r="D673" s="264" t="s">
        <v>1003</v>
      </c>
      <c r="E673" s="265" t="s">
        <v>1004</v>
      </c>
      <c r="F673" s="265" t="s">
        <v>1005</v>
      </c>
      <c r="G673" s="265" t="s">
        <v>1006</v>
      </c>
      <c r="H673" s="265" t="s">
        <v>1007</v>
      </c>
      <c r="I673" s="265" t="s">
        <v>1008</v>
      </c>
      <c r="J673" s="265" t="s">
        <v>1009</v>
      </c>
    </row>
    <row r="674" spans="2:10">
      <c r="B674" s="295" t="s">
        <v>927</v>
      </c>
      <c r="C674" s="267" t="s">
        <v>897</v>
      </c>
      <c r="D674" s="267">
        <v>88247</v>
      </c>
      <c r="E674" s="268">
        <v>0.2</v>
      </c>
      <c r="F674" s="268"/>
      <c r="G674" s="302">
        <f>(17.1/1.915)</f>
        <v>8.9295039164490859</v>
      </c>
      <c r="H674" s="268">
        <v>0</v>
      </c>
      <c r="I674" s="268">
        <f t="shared" ref="I674:I676" si="18">ROUND(G674*(1+$J$10),2)</f>
        <v>17.100000000000001</v>
      </c>
      <c r="J674" s="269">
        <f>I674*E674</f>
        <v>3.4200000000000004</v>
      </c>
    </row>
    <row r="675" spans="2:10">
      <c r="B675" s="295" t="s">
        <v>928</v>
      </c>
      <c r="C675" s="267" t="s">
        <v>897</v>
      </c>
      <c r="D675" s="267">
        <v>88264</v>
      </c>
      <c r="E675" s="268">
        <v>0.2</v>
      </c>
      <c r="F675" s="268"/>
      <c r="G675" s="302">
        <f>21.24/1.915</f>
        <v>11.091383812010443</v>
      </c>
      <c r="H675" s="268">
        <v>0</v>
      </c>
      <c r="I675" s="268">
        <f t="shared" si="18"/>
        <v>21.24</v>
      </c>
      <c r="J675" s="269">
        <f>I675*E675</f>
        <v>4.2480000000000002</v>
      </c>
    </row>
    <row r="676" spans="2:10">
      <c r="B676" s="266"/>
      <c r="C676" s="267"/>
      <c r="D676" s="267"/>
      <c r="E676" s="268"/>
      <c r="F676" s="268"/>
      <c r="G676" s="268"/>
      <c r="H676" s="268">
        <v>0</v>
      </c>
      <c r="I676" s="268">
        <f t="shared" si="18"/>
        <v>0</v>
      </c>
      <c r="J676" s="269">
        <f>I676*E676</f>
        <v>0</v>
      </c>
    </row>
    <row r="677" spans="2:10">
      <c r="B677" s="266"/>
      <c r="C677" s="267"/>
      <c r="D677" s="267"/>
      <c r="E677" s="268"/>
      <c r="F677" s="268"/>
      <c r="G677" s="268"/>
      <c r="H677" s="268"/>
      <c r="I677" s="268"/>
      <c r="J677" s="269"/>
    </row>
    <row r="678" spans="2:10">
      <c r="B678" s="266"/>
      <c r="C678" s="267"/>
      <c r="D678" s="267"/>
      <c r="E678" s="268"/>
      <c r="F678" s="268"/>
      <c r="G678" s="268"/>
      <c r="H678" s="268"/>
      <c r="I678" s="268"/>
      <c r="J678" s="269"/>
    </row>
    <row r="679" spans="2:10">
      <c r="B679" s="266"/>
      <c r="C679" s="266"/>
      <c r="D679" s="267"/>
      <c r="E679" s="267"/>
      <c r="F679" s="268"/>
      <c r="G679" s="268"/>
      <c r="H679" s="268"/>
      <c r="I679" s="268"/>
      <c r="J679" s="269"/>
    </row>
    <row r="680" spans="2:10">
      <c r="B680" s="686" t="s">
        <v>1011</v>
      </c>
      <c r="C680" s="687"/>
      <c r="D680" s="687"/>
      <c r="E680" s="687"/>
      <c r="F680" s="687"/>
      <c r="G680" s="687"/>
      <c r="H680" s="687"/>
      <c r="I680" s="688"/>
      <c r="J680" s="270">
        <f>ROUND(SUM(J674:J679),2)</f>
        <v>7.67</v>
      </c>
    </row>
    <row r="681" spans="2:10">
      <c r="B681" s="689"/>
      <c r="C681" s="689"/>
      <c r="D681" s="689"/>
      <c r="E681" s="689"/>
      <c r="F681" s="689"/>
      <c r="G681" s="689"/>
      <c r="H681" s="689"/>
      <c r="I681" s="689"/>
      <c r="J681" s="689"/>
    </row>
    <row r="682" spans="2:10" ht="30">
      <c r="B682" s="263" t="s">
        <v>1012</v>
      </c>
      <c r="C682" s="264" t="s">
        <v>1002</v>
      </c>
      <c r="D682" s="264" t="s">
        <v>1072</v>
      </c>
      <c r="E682" s="265" t="s">
        <v>1004</v>
      </c>
      <c r="F682" s="265" t="s">
        <v>1005</v>
      </c>
      <c r="G682" s="265" t="s">
        <v>1006</v>
      </c>
      <c r="H682" s="265" t="s">
        <v>1007</v>
      </c>
      <c r="I682" s="265" t="s">
        <v>1008</v>
      </c>
      <c r="J682" s="265" t="s">
        <v>1009</v>
      </c>
    </row>
    <row r="683" spans="2:10" ht="30">
      <c r="B683" s="295" t="s">
        <v>1125</v>
      </c>
      <c r="C683" s="296" t="s">
        <v>698</v>
      </c>
      <c r="D683" s="267"/>
      <c r="E683" s="268">
        <v>1</v>
      </c>
      <c r="F683" s="268">
        <v>1</v>
      </c>
      <c r="G683" s="268">
        <v>52.81</v>
      </c>
      <c r="H683" s="268">
        <v>0</v>
      </c>
      <c r="I683" s="268">
        <f>G683</f>
        <v>52.81</v>
      </c>
      <c r="J683" s="269">
        <f>I683*E683</f>
        <v>52.81</v>
      </c>
    </row>
    <row r="684" spans="2:10">
      <c r="B684" s="295"/>
      <c r="C684" s="296"/>
      <c r="D684" s="267"/>
      <c r="E684" s="268"/>
      <c r="F684" s="268"/>
      <c r="G684" s="268"/>
      <c r="H684" s="268">
        <v>0</v>
      </c>
      <c r="I684" s="268">
        <f>G684</f>
        <v>0</v>
      </c>
      <c r="J684" s="269">
        <f>I684*E684</f>
        <v>0</v>
      </c>
    </row>
    <row r="685" spans="2:10">
      <c r="B685" s="295"/>
      <c r="C685" s="296"/>
      <c r="D685" s="267"/>
      <c r="E685" s="268"/>
      <c r="F685" s="268"/>
      <c r="G685" s="268"/>
      <c r="H685" s="268"/>
      <c r="I685" s="268"/>
      <c r="J685" s="269"/>
    </row>
    <row r="686" spans="2:10">
      <c r="B686" s="295"/>
      <c r="C686" s="296"/>
      <c r="D686" s="296"/>
      <c r="E686" s="268"/>
      <c r="F686" s="268"/>
      <c r="G686" s="268"/>
      <c r="H686" s="268"/>
      <c r="I686" s="268"/>
      <c r="J686" s="269"/>
    </row>
    <row r="687" spans="2:10">
      <c r="B687" s="295"/>
      <c r="C687" s="266"/>
      <c r="D687" s="267"/>
      <c r="E687" s="267"/>
      <c r="F687" s="268"/>
      <c r="G687" s="268"/>
      <c r="H687" s="268"/>
      <c r="I687" s="268"/>
      <c r="J687" s="269"/>
    </row>
    <row r="688" spans="2:10">
      <c r="B688" s="266"/>
      <c r="C688" s="266"/>
      <c r="D688" s="267"/>
      <c r="E688" s="267"/>
      <c r="F688" s="268"/>
      <c r="G688" s="268"/>
      <c r="H688" s="268"/>
      <c r="I688" s="268"/>
      <c r="J688" s="269"/>
    </row>
    <row r="689" spans="2:10">
      <c r="B689" s="266"/>
      <c r="C689" s="266"/>
      <c r="D689" s="267"/>
      <c r="E689" s="267"/>
      <c r="F689" s="268"/>
      <c r="G689" s="268"/>
      <c r="H689" s="268"/>
      <c r="I689" s="268"/>
      <c r="J689" s="269"/>
    </row>
    <row r="690" spans="2:10">
      <c r="B690" s="266"/>
      <c r="C690" s="266"/>
      <c r="D690" s="267"/>
      <c r="E690" s="267"/>
      <c r="F690" s="268"/>
      <c r="G690" s="268"/>
      <c r="H690" s="268"/>
      <c r="I690" s="268"/>
      <c r="J690" s="269"/>
    </row>
    <row r="691" spans="2:10">
      <c r="B691" s="266"/>
      <c r="C691" s="266"/>
      <c r="D691" s="267"/>
      <c r="E691" s="267"/>
      <c r="F691" s="268"/>
      <c r="G691" s="268"/>
      <c r="H691" s="268"/>
      <c r="I691" s="268"/>
      <c r="J691" s="269"/>
    </row>
    <row r="692" spans="2:10">
      <c r="B692" s="266"/>
      <c r="C692" s="266"/>
      <c r="D692" s="267"/>
      <c r="E692" s="267"/>
      <c r="F692" s="268"/>
      <c r="G692" s="268"/>
      <c r="H692" s="268"/>
      <c r="I692" s="268"/>
      <c r="J692" s="269"/>
    </row>
    <row r="693" spans="2:10">
      <c r="B693" s="266"/>
      <c r="C693" s="266"/>
      <c r="D693" s="267"/>
      <c r="E693" s="267"/>
      <c r="F693" s="268"/>
      <c r="G693" s="268"/>
      <c r="H693" s="268"/>
      <c r="I693" s="268"/>
      <c r="J693" s="269"/>
    </row>
    <row r="694" spans="2:10">
      <c r="B694" s="266"/>
      <c r="C694" s="266"/>
      <c r="D694" s="267"/>
      <c r="E694" s="267"/>
      <c r="F694" s="268"/>
      <c r="G694" s="268"/>
      <c r="H694" s="268"/>
      <c r="I694" s="268"/>
      <c r="J694" s="269"/>
    </row>
    <row r="695" spans="2:10">
      <c r="B695" s="266"/>
      <c r="C695" s="266"/>
      <c r="D695" s="267"/>
      <c r="E695" s="267"/>
      <c r="F695" s="268"/>
      <c r="G695" s="268"/>
      <c r="H695" s="268"/>
      <c r="I695" s="268"/>
      <c r="J695" s="269"/>
    </row>
    <row r="696" spans="2:10">
      <c r="B696" s="266"/>
      <c r="C696" s="266"/>
      <c r="D696" s="267"/>
      <c r="E696" s="267"/>
      <c r="F696" s="268"/>
      <c r="G696" s="268"/>
      <c r="H696" s="268"/>
      <c r="I696" s="268"/>
      <c r="J696" s="269"/>
    </row>
    <row r="697" spans="2:10">
      <c r="B697" s="266"/>
      <c r="C697" s="266"/>
      <c r="D697" s="267"/>
      <c r="E697" s="267"/>
      <c r="F697" s="268"/>
      <c r="G697" s="268"/>
      <c r="H697" s="268"/>
      <c r="I697" s="268"/>
      <c r="J697" s="269"/>
    </row>
    <row r="698" spans="2:10">
      <c r="B698" s="266"/>
      <c r="C698" s="266"/>
      <c r="D698" s="267"/>
      <c r="E698" s="267"/>
      <c r="F698" s="268"/>
      <c r="G698" s="268"/>
      <c r="H698" s="268"/>
      <c r="I698" s="268"/>
      <c r="J698" s="269"/>
    </row>
    <row r="699" spans="2:10">
      <c r="B699" s="686" t="s">
        <v>1011</v>
      </c>
      <c r="C699" s="687"/>
      <c r="D699" s="687"/>
      <c r="E699" s="687"/>
      <c r="F699" s="687"/>
      <c r="G699" s="687"/>
      <c r="H699" s="687"/>
      <c r="I699" s="688"/>
      <c r="J699" s="270">
        <f>ROUND(SUM(J683:J698),2)</f>
        <v>52.81</v>
      </c>
    </row>
    <row r="700" spans="2:10">
      <c r="B700" s="690"/>
      <c r="C700" s="690"/>
      <c r="D700" s="690"/>
      <c r="E700" s="690"/>
      <c r="F700" s="690"/>
      <c r="G700" s="690"/>
      <c r="H700" s="690"/>
      <c r="I700" s="690"/>
      <c r="J700" s="690"/>
    </row>
    <row r="701" spans="2:10" ht="30">
      <c r="B701" s="263" t="s">
        <v>1013</v>
      </c>
      <c r="C701" s="264" t="s">
        <v>1002</v>
      </c>
      <c r="D701" s="264" t="s">
        <v>1003</v>
      </c>
      <c r="E701" s="265" t="s">
        <v>1004</v>
      </c>
      <c r="F701" s="265" t="s">
        <v>1005</v>
      </c>
      <c r="G701" s="265" t="s">
        <v>1006</v>
      </c>
      <c r="H701" s="265" t="s">
        <v>1007</v>
      </c>
      <c r="I701" s="265" t="s">
        <v>1008</v>
      </c>
      <c r="J701" s="265" t="s">
        <v>1009</v>
      </c>
    </row>
    <row r="702" spans="2:10">
      <c r="B702" s="266"/>
      <c r="C702" s="267"/>
      <c r="D702" s="267"/>
      <c r="E702" s="268"/>
      <c r="F702" s="268"/>
      <c r="G702" s="268"/>
      <c r="H702" s="268"/>
      <c r="I702" s="268"/>
      <c r="J702" s="271"/>
    </row>
    <row r="703" spans="2:10">
      <c r="B703" s="266"/>
      <c r="C703" s="267"/>
      <c r="D703" s="267"/>
      <c r="E703" s="268"/>
      <c r="F703" s="268"/>
      <c r="G703" s="268"/>
      <c r="H703" s="268"/>
      <c r="I703" s="268"/>
      <c r="J703" s="271"/>
    </row>
    <row r="704" spans="2:10">
      <c r="B704" s="266"/>
      <c r="C704" s="267"/>
      <c r="D704" s="267"/>
      <c r="E704" s="268"/>
      <c r="F704" s="268"/>
      <c r="G704" s="268"/>
      <c r="H704" s="268"/>
      <c r="I704" s="268"/>
      <c r="J704" s="271"/>
    </row>
    <row r="705" spans="2:10">
      <c r="B705" s="266"/>
      <c r="C705" s="267"/>
      <c r="D705" s="267"/>
      <c r="E705" s="268"/>
      <c r="F705" s="268"/>
      <c r="G705" s="268"/>
      <c r="H705" s="268"/>
      <c r="I705" s="268"/>
      <c r="J705" s="271"/>
    </row>
    <row r="706" spans="2:10">
      <c r="B706" s="266"/>
      <c r="C706" s="266"/>
      <c r="D706" s="267"/>
      <c r="E706" s="267"/>
      <c r="F706" s="268"/>
      <c r="G706" s="268"/>
      <c r="H706" s="268"/>
      <c r="I706" s="268"/>
      <c r="J706" s="271"/>
    </row>
    <row r="707" spans="2:10">
      <c r="B707" s="686" t="s">
        <v>1011</v>
      </c>
      <c r="C707" s="687"/>
      <c r="D707" s="687"/>
      <c r="E707" s="687"/>
      <c r="F707" s="687"/>
      <c r="G707" s="687"/>
      <c r="H707" s="687"/>
      <c r="I707" s="688"/>
      <c r="J707" s="270">
        <f>ROUND(SUM(J702:J706),2)</f>
        <v>0</v>
      </c>
    </row>
    <row r="708" spans="2:10">
      <c r="B708" s="262"/>
      <c r="C708" s="262"/>
      <c r="D708" s="262"/>
      <c r="E708" s="262"/>
      <c r="F708" s="262"/>
      <c r="G708" s="262"/>
      <c r="H708" s="262"/>
      <c r="I708" s="262"/>
      <c r="J708" s="262"/>
    </row>
    <row r="709" spans="2:10">
      <c r="B709" s="691" t="s">
        <v>1014</v>
      </c>
      <c r="C709" s="691"/>
      <c r="D709" s="691"/>
      <c r="E709" s="691"/>
      <c r="F709" s="691"/>
      <c r="G709" s="691"/>
      <c r="H709" s="262"/>
      <c r="I709" s="262"/>
      <c r="J709" s="262"/>
    </row>
    <row r="710" spans="2:10">
      <c r="B710" s="692" t="s">
        <v>1015</v>
      </c>
      <c r="C710" s="693"/>
      <c r="D710" s="693"/>
      <c r="E710" s="694"/>
      <c r="F710" s="265" t="s">
        <v>1016</v>
      </c>
      <c r="G710" s="265" t="s">
        <v>1017</v>
      </c>
      <c r="H710" s="262"/>
      <c r="I710" s="262"/>
      <c r="J710" s="262"/>
    </row>
    <row r="711" spans="2:10">
      <c r="B711" s="678" t="s">
        <v>1018</v>
      </c>
      <c r="C711" s="679"/>
      <c r="D711" s="679"/>
      <c r="E711" s="680"/>
      <c r="F711" s="681">
        <f>$J$10</f>
        <v>0.91500000000000004</v>
      </c>
      <c r="G711" s="272">
        <f>J680</f>
        <v>7.67</v>
      </c>
      <c r="H711" s="262"/>
      <c r="I711" s="262"/>
      <c r="J711" s="262"/>
    </row>
    <row r="712" spans="2:10">
      <c r="B712" s="678" t="s">
        <v>1019</v>
      </c>
      <c r="C712" s="679"/>
      <c r="D712" s="679"/>
      <c r="E712" s="680"/>
      <c r="F712" s="695"/>
      <c r="G712" s="272">
        <f>J699</f>
        <v>52.81</v>
      </c>
      <c r="H712" s="262"/>
      <c r="I712" s="262"/>
      <c r="J712" s="262"/>
    </row>
    <row r="713" spans="2:10">
      <c r="B713" s="678" t="s">
        <v>1020</v>
      </c>
      <c r="C713" s="679"/>
      <c r="D713" s="679"/>
      <c r="E713" s="680"/>
      <c r="F713" s="695"/>
      <c r="G713" s="272">
        <f>J707</f>
        <v>0</v>
      </c>
      <c r="H713" s="262"/>
      <c r="I713" s="262"/>
      <c r="J713" s="262"/>
    </row>
    <row r="714" spans="2:10">
      <c r="B714" s="678" t="s">
        <v>1021</v>
      </c>
      <c r="C714" s="679"/>
      <c r="D714" s="679"/>
      <c r="E714" s="680"/>
      <c r="F714" s="695"/>
      <c r="G714" s="272">
        <v>1</v>
      </c>
      <c r="H714" s="262"/>
      <c r="I714" s="262"/>
      <c r="J714" s="262"/>
    </row>
    <row r="715" spans="2:10">
      <c r="B715" s="678" t="s">
        <v>1022</v>
      </c>
      <c r="C715" s="679"/>
      <c r="D715" s="679"/>
      <c r="E715" s="680"/>
      <c r="F715" s="695"/>
      <c r="G715" s="272">
        <f>G711+G713</f>
        <v>7.67</v>
      </c>
      <c r="H715" s="262"/>
      <c r="I715" s="262"/>
      <c r="J715" s="262"/>
    </row>
    <row r="716" spans="2:10">
      <c r="B716" s="678" t="s">
        <v>1023</v>
      </c>
      <c r="C716" s="679"/>
      <c r="D716" s="679"/>
      <c r="E716" s="680"/>
      <c r="F716" s="695"/>
      <c r="G716" s="272">
        <f>G715/G714</f>
        <v>7.67</v>
      </c>
      <c r="H716" s="262"/>
      <c r="I716" s="262"/>
      <c r="J716" s="262"/>
    </row>
    <row r="717" spans="2:10">
      <c r="B717" s="678" t="s">
        <v>1024</v>
      </c>
      <c r="C717" s="679"/>
      <c r="D717" s="679"/>
      <c r="E717" s="680"/>
      <c r="F717" s="682"/>
      <c r="G717" s="272">
        <f>G712+G716</f>
        <v>60.480000000000004</v>
      </c>
      <c r="H717" s="262"/>
      <c r="I717" s="262"/>
      <c r="J717" s="262"/>
    </row>
    <row r="718" spans="2:10">
      <c r="B718" s="678" t="s">
        <v>1025</v>
      </c>
      <c r="C718" s="679"/>
      <c r="D718" s="679"/>
      <c r="E718" s="680"/>
      <c r="F718" s="681">
        <f>$I$11</f>
        <v>0.28220000000000001</v>
      </c>
      <c r="G718" s="272">
        <f>G717*F718</f>
        <v>17.067456</v>
      </c>
      <c r="H718" s="262"/>
      <c r="I718" s="262"/>
      <c r="J718" s="262"/>
    </row>
    <row r="719" spans="2:10">
      <c r="B719" s="683" t="s">
        <v>1026</v>
      </c>
      <c r="C719" s="684"/>
      <c r="D719" s="684"/>
      <c r="E719" s="685"/>
      <c r="F719" s="682"/>
      <c r="G719" s="273">
        <f>ROUND(SUM(G717+G718),2)</f>
        <v>77.55</v>
      </c>
      <c r="H719" s="262"/>
      <c r="I719" s="262"/>
      <c r="J719" s="307"/>
    </row>
    <row r="720" spans="2:10" ht="15.75" thickBot="1"/>
    <row r="721" spans="2:10" ht="15.75" thickBot="1">
      <c r="B721" s="696" t="s">
        <v>990</v>
      </c>
      <c r="C721" s="697"/>
      <c r="D721" s="697"/>
      <c r="E721" s="697"/>
      <c r="F721" s="697"/>
      <c r="G721" s="697"/>
      <c r="H721" s="697"/>
      <c r="I721" s="697"/>
      <c r="J721" s="698"/>
    </row>
    <row r="722" spans="2:10">
      <c r="B722" s="699" t="s">
        <v>7</v>
      </c>
      <c r="C722" s="699"/>
      <c r="D722" s="699"/>
      <c r="E722" s="699"/>
      <c r="F722" s="699"/>
      <c r="G722" s="699"/>
      <c r="H722" s="699"/>
      <c r="I722" s="699"/>
      <c r="J722" s="699"/>
    </row>
    <row r="723" spans="2:10" ht="15.75" thickBot="1">
      <c r="B723" s="699" t="s">
        <v>8</v>
      </c>
      <c r="C723" s="699"/>
      <c r="D723" s="699"/>
      <c r="E723" s="699"/>
      <c r="F723" s="699"/>
      <c r="G723" s="699"/>
      <c r="H723" s="699"/>
      <c r="I723" s="699"/>
      <c r="J723" s="699"/>
    </row>
    <row r="724" spans="2:10">
      <c r="B724" s="700" t="s">
        <v>991</v>
      </c>
      <c r="C724" s="249" t="s">
        <v>992</v>
      </c>
      <c r="D724" s="250">
        <v>6</v>
      </c>
      <c r="E724" s="251" t="s">
        <v>993</v>
      </c>
      <c r="F724" s="252">
        <v>2017</v>
      </c>
      <c r="G724" s="253"/>
      <c r="H724" s="253"/>
      <c r="I724" s="251" t="s">
        <v>994</v>
      </c>
      <c r="J724" s="306" t="s">
        <v>781</v>
      </c>
    </row>
    <row r="725" spans="2:10">
      <c r="B725" s="701"/>
      <c r="C725" s="255" t="s">
        <v>995</v>
      </c>
      <c r="D725" s="703" t="s">
        <v>1128</v>
      </c>
      <c r="E725" s="704"/>
      <c r="F725" s="256"/>
      <c r="G725" s="256"/>
      <c r="H725" s="256"/>
      <c r="I725" s="256"/>
      <c r="J725" s="257"/>
    </row>
    <row r="726" spans="2:10" ht="15.75">
      <c r="B726" s="701"/>
      <c r="C726" s="255" t="s">
        <v>997</v>
      </c>
      <c r="D726" s="705" t="s">
        <v>782</v>
      </c>
      <c r="E726" s="705"/>
      <c r="F726" s="705"/>
      <c r="G726" s="705"/>
      <c r="H726" s="705"/>
      <c r="I726" s="705"/>
      <c r="J726" s="706"/>
    </row>
    <row r="727" spans="2:10" ht="15.75" thickBot="1">
      <c r="B727" s="702"/>
      <c r="C727" s="258" t="s">
        <v>999</v>
      </c>
      <c r="D727" s="308" t="s">
        <v>801</v>
      </c>
      <c r="E727" s="260"/>
      <c r="F727" s="260"/>
      <c r="G727" s="260"/>
      <c r="H727" s="260"/>
      <c r="I727" s="260"/>
      <c r="J727" s="261"/>
    </row>
    <row r="728" spans="2:10">
      <c r="B728" s="262"/>
      <c r="C728" s="262"/>
      <c r="D728" s="262"/>
      <c r="E728" s="262"/>
      <c r="F728" s="262"/>
      <c r="G728" s="262"/>
      <c r="H728" s="262"/>
      <c r="I728" s="262"/>
      <c r="J728" s="262"/>
    </row>
    <row r="729" spans="2:10" ht="30">
      <c r="B729" s="263" t="s">
        <v>1001</v>
      </c>
      <c r="C729" s="264" t="s">
        <v>1002</v>
      </c>
      <c r="D729" s="264" t="s">
        <v>1003</v>
      </c>
      <c r="E729" s="265" t="s">
        <v>1004</v>
      </c>
      <c r="F729" s="265" t="s">
        <v>1005</v>
      </c>
      <c r="G729" s="265" t="s">
        <v>1006</v>
      </c>
      <c r="H729" s="265" t="s">
        <v>1007</v>
      </c>
      <c r="I729" s="265" t="s">
        <v>1008</v>
      </c>
      <c r="J729" s="265" t="s">
        <v>1009</v>
      </c>
    </row>
    <row r="730" spans="2:10">
      <c r="B730" s="295" t="s">
        <v>1129</v>
      </c>
      <c r="C730" s="296" t="s">
        <v>801</v>
      </c>
      <c r="D730" s="267"/>
      <c r="E730" s="268">
        <v>1</v>
      </c>
      <c r="F730" s="268"/>
      <c r="G730" s="302">
        <v>350</v>
      </c>
      <c r="H730" s="268">
        <v>0</v>
      </c>
      <c r="I730" s="310">
        <f>G730</f>
        <v>350</v>
      </c>
      <c r="J730" s="269">
        <f>I730*E730</f>
        <v>350</v>
      </c>
    </row>
    <row r="731" spans="2:10">
      <c r="B731" s="295"/>
      <c r="C731" s="267"/>
      <c r="D731" s="267"/>
      <c r="E731" s="268"/>
      <c r="F731" s="268"/>
      <c r="G731" s="302"/>
      <c r="H731" s="268">
        <v>0</v>
      </c>
      <c r="I731" s="268">
        <f t="shared" ref="I731:I732" si="19">ROUND(G731*(1+$J$10),2)</f>
        <v>0</v>
      </c>
      <c r="J731" s="269">
        <f>I731*E731</f>
        <v>0</v>
      </c>
    </row>
    <row r="732" spans="2:10">
      <c r="B732" s="266"/>
      <c r="C732" s="267"/>
      <c r="D732" s="267"/>
      <c r="E732" s="268"/>
      <c r="F732" s="268"/>
      <c r="G732" s="268"/>
      <c r="H732" s="268">
        <v>0</v>
      </c>
      <c r="I732" s="268">
        <f t="shared" si="19"/>
        <v>0</v>
      </c>
      <c r="J732" s="269">
        <f>I732*E732</f>
        <v>0</v>
      </c>
    </row>
    <row r="733" spans="2:10">
      <c r="B733" s="266"/>
      <c r="C733" s="267"/>
      <c r="D733" s="267"/>
      <c r="E733" s="268"/>
      <c r="F733" s="268"/>
      <c r="G733" s="268"/>
      <c r="H733" s="268"/>
      <c r="I733" s="268"/>
      <c r="J733" s="269"/>
    </row>
    <row r="734" spans="2:10">
      <c r="B734" s="266"/>
      <c r="C734" s="267"/>
      <c r="D734" s="267"/>
      <c r="E734" s="268"/>
      <c r="F734" s="268"/>
      <c r="G734" s="268"/>
      <c r="H734" s="268"/>
      <c r="I734" s="268"/>
      <c r="J734" s="269"/>
    </row>
    <row r="735" spans="2:10">
      <c r="B735" s="266"/>
      <c r="C735" s="266"/>
      <c r="D735" s="267"/>
      <c r="E735" s="267"/>
      <c r="F735" s="268"/>
      <c r="G735" s="268"/>
      <c r="H735" s="268"/>
      <c r="I735" s="268"/>
      <c r="J735" s="269"/>
    </row>
    <row r="736" spans="2:10">
      <c r="B736" s="686" t="s">
        <v>1011</v>
      </c>
      <c r="C736" s="687"/>
      <c r="D736" s="687"/>
      <c r="E736" s="687"/>
      <c r="F736" s="687"/>
      <c r="G736" s="687"/>
      <c r="H736" s="687"/>
      <c r="I736" s="688"/>
      <c r="J736" s="270">
        <f>ROUND(SUM(J730:J735),2)</f>
        <v>350</v>
      </c>
    </row>
    <row r="737" spans="2:10">
      <c r="B737" s="689"/>
      <c r="C737" s="689"/>
      <c r="D737" s="689"/>
      <c r="E737" s="689"/>
      <c r="F737" s="689"/>
      <c r="G737" s="689"/>
      <c r="H737" s="689"/>
      <c r="I737" s="689"/>
      <c r="J737" s="689"/>
    </row>
    <row r="738" spans="2:10" ht="30">
      <c r="B738" s="263" t="s">
        <v>1012</v>
      </c>
      <c r="C738" s="264" t="s">
        <v>1002</v>
      </c>
      <c r="D738" s="264" t="s">
        <v>1072</v>
      </c>
      <c r="E738" s="265" t="s">
        <v>1004</v>
      </c>
      <c r="F738" s="265" t="s">
        <v>1005</v>
      </c>
      <c r="G738" s="265" t="s">
        <v>1006</v>
      </c>
      <c r="H738" s="265" t="s">
        <v>1007</v>
      </c>
      <c r="I738" s="265" t="s">
        <v>1008</v>
      </c>
      <c r="J738" s="265" t="s">
        <v>1009</v>
      </c>
    </row>
    <row r="739" spans="2:10">
      <c r="B739" s="303" t="s">
        <v>782</v>
      </c>
      <c r="C739" s="296" t="s">
        <v>698</v>
      </c>
      <c r="D739" s="267">
        <v>39847</v>
      </c>
      <c r="E739" s="268">
        <v>1</v>
      </c>
      <c r="F739" s="268">
        <v>1</v>
      </c>
      <c r="G739" s="268">
        <v>1344.36</v>
      </c>
      <c r="H739" s="268">
        <v>0</v>
      </c>
      <c r="I739" s="268">
        <f>G739</f>
        <v>1344.36</v>
      </c>
      <c r="J739" s="269">
        <f>I739*E739</f>
        <v>1344.36</v>
      </c>
    </row>
    <row r="740" spans="2:10">
      <c r="B740" s="295"/>
      <c r="C740" s="296"/>
      <c r="D740" s="267"/>
      <c r="E740" s="268"/>
      <c r="F740" s="268"/>
      <c r="G740" s="268"/>
      <c r="H740" s="268">
        <v>0</v>
      </c>
      <c r="I740" s="268">
        <f>G740</f>
        <v>0</v>
      </c>
      <c r="J740" s="269">
        <f>I740*E740</f>
        <v>0</v>
      </c>
    </row>
    <row r="741" spans="2:10">
      <c r="B741" s="295"/>
      <c r="C741" s="296"/>
      <c r="D741" s="267"/>
      <c r="E741" s="268"/>
      <c r="F741" s="268"/>
      <c r="G741" s="268"/>
      <c r="H741" s="268"/>
      <c r="I741" s="268"/>
      <c r="J741" s="269"/>
    </row>
    <row r="742" spans="2:10">
      <c r="B742" s="295"/>
      <c r="C742" s="296"/>
      <c r="D742" s="296"/>
      <c r="E742" s="268"/>
      <c r="F742" s="268"/>
      <c r="G742" s="268"/>
      <c r="H742" s="268"/>
      <c r="I742" s="268"/>
      <c r="J742" s="269"/>
    </row>
    <row r="743" spans="2:10">
      <c r="B743" s="295"/>
      <c r="C743" s="266"/>
      <c r="D743" s="267"/>
      <c r="E743" s="267"/>
      <c r="F743" s="268"/>
      <c r="G743" s="268"/>
      <c r="H743" s="268"/>
      <c r="I743" s="268"/>
      <c r="J743" s="269"/>
    </row>
    <row r="744" spans="2:10">
      <c r="B744" s="266"/>
      <c r="C744" s="266"/>
      <c r="D744" s="267"/>
      <c r="E744" s="267"/>
      <c r="F744" s="268"/>
      <c r="G744" s="268"/>
      <c r="H744" s="268"/>
      <c r="I744" s="268"/>
      <c r="J744" s="269"/>
    </row>
    <row r="745" spans="2:10">
      <c r="B745" s="266"/>
      <c r="C745" s="266"/>
      <c r="D745" s="267"/>
      <c r="E745" s="267"/>
      <c r="F745" s="268"/>
      <c r="G745" s="268"/>
      <c r="H745" s="268"/>
      <c r="I745" s="268"/>
      <c r="J745" s="269"/>
    </row>
    <row r="746" spans="2:10">
      <c r="B746" s="266"/>
      <c r="C746" s="266"/>
      <c r="D746" s="267"/>
      <c r="E746" s="267"/>
      <c r="F746" s="268"/>
      <c r="G746" s="268"/>
      <c r="H746" s="268"/>
      <c r="I746" s="268"/>
      <c r="J746" s="269"/>
    </row>
    <row r="747" spans="2:10">
      <c r="B747" s="266"/>
      <c r="C747" s="266"/>
      <c r="D747" s="267"/>
      <c r="E747" s="267"/>
      <c r="F747" s="268"/>
      <c r="G747" s="268"/>
      <c r="H747" s="268"/>
      <c r="I747" s="268"/>
      <c r="J747" s="269"/>
    </row>
    <row r="748" spans="2:10">
      <c r="B748" s="266"/>
      <c r="C748" s="266"/>
      <c r="D748" s="267"/>
      <c r="E748" s="267"/>
      <c r="F748" s="268"/>
      <c r="G748" s="268"/>
      <c r="H748" s="268"/>
      <c r="I748" s="268"/>
      <c r="J748" s="269"/>
    </row>
    <row r="749" spans="2:10">
      <c r="B749" s="266"/>
      <c r="C749" s="266"/>
      <c r="D749" s="267"/>
      <c r="E749" s="267"/>
      <c r="F749" s="268"/>
      <c r="G749" s="268"/>
      <c r="H749" s="268"/>
      <c r="I749" s="268"/>
      <c r="J749" s="269"/>
    </row>
    <row r="750" spans="2:10">
      <c r="B750" s="266"/>
      <c r="C750" s="266"/>
      <c r="D750" s="267"/>
      <c r="E750" s="267"/>
      <c r="F750" s="268"/>
      <c r="G750" s="268"/>
      <c r="H750" s="268"/>
      <c r="I750" s="268"/>
      <c r="J750" s="269"/>
    </row>
    <row r="751" spans="2:10">
      <c r="B751" s="266"/>
      <c r="C751" s="266"/>
      <c r="D751" s="267"/>
      <c r="E751" s="267"/>
      <c r="F751" s="268"/>
      <c r="G751" s="268"/>
      <c r="H751" s="268"/>
      <c r="I751" s="268"/>
      <c r="J751" s="269"/>
    </row>
    <row r="752" spans="2:10">
      <c r="B752" s="266"/>
      <c r="C752" s="266"/>
      <c r="D752" s="267"/>
      <c r="E752" s="267"/>
      <c r="F752" s="268"/>
      <c r="G752" s="268"/>
      <c r="H752" s="268"/>
      <c r="I752" s="268"/>
      <c r="J752" s="269"/>
    </row>
    <row r="753" spans="2:10">
      <c r="B753" s="266"/>
      <c r="C753" s="266"/>
      <c r="D753" s="267"/>
      <c r="E753" s="267"/>
      <c r="F753" s="268"/>
      <c r="G753" s="268"/>
      <c r="H753" s="268"/>
      <c r="I753" s="268"/>
      <c r="J753" s="269"/>
    </row>
    <row r="754" spans="2:10">
      <c r="B754" s="266"/>
      <c r="C754" s="266"/>
      <c r="D754" s="267"/>
      <c r="E754" s="267"/>
      <c r="F754" s="268"/>
      <c r="G754" s="268"/>
      <c r="H754" s="268"/>
      <c r="I754" s="268"/>
      <c r="J754" s="269"/>
    </row>
    <row r="755" spans="2:10">
      <c r="B755" s="266"/>
      <c r="C755" s="266"/>
      <c r="D755" s="267"/>
      <c r="E755" s="267"/>
      <c r="F755" s="268"/>
      <c r="G755" s="268"/>
      <c r="H755" s="268"/>
      <c r="I755" s="268"/>
      <c r="J755" s="269"/>
    </row>
    <row r="756" spans="2:10">
      <c r="B756" s="266"/>
      <c r="C756" s="266"/>
      <c r="D756" s="267"/>
      <c r="E756" s="267"/>
      <c r="F756" s="268"/>
      <c r="G756" s="268"/>
      <c r="H756" s="268"/>
      <c r="I756" s="268"/>
      <c r="J756" s="269"/>
    </row>
    <row r="757" spans="2:10">
      <c r="B757" s="686" t="s">
        <v>1011</v>
      </c>
      <c r="C757" s="687"/>
      <c r="D757" s="687"/>
      <c r="E757" s="687"/>
      <c r="F757" s="687"/>
      <c r="G757" s="687"/>
      <c r="H757" s="687"/>
      <c r="I757" s="688"/>
      <c r="J757" s="270">
        <f>ROUND(SUM(J739:J756),2)</f>
        <v>1344.36</v>
      </c>
    </row>
    <row r="758" spans="2:10">
      <c r="B758" s="690"/>
      <c r="C758" s="690"/>
      <c r="D758" s="690"/>
      <c r="E758" s="690"/>
      <c r="F758" s="690"/>
      <c r="G758" s="690"/>
      <c r="H758" s="690"/>
      <c r="I758" s="690"/>
      <c r="J758" s="690"/>
    </row>
    <row r="759" spans="2:10" ht="30">
      <c r="B759" s="263" t="s">
        <v>1013</v>
      </c>
      <c r="C759" s="264" t="s">
        <v>1002</v>
      </c>
      <c r="D759" s="264" t="s">
        <v>1003</v>
      </c>
      <c r="E759" s="265" t="s">
        <v>1004</v>
      </c>
      <c r="F759" s="265" t="s">
        <v>1005</v>
      </c>
      <c r="G759" s="265" t="s">
        <v>1006</v>
      </c>
      <c r="H759" s="265" t="s">
        <v>1007</v>
      </c>
      <c r="I759" s="265" t="s">
        <v>1008</v>
      </c>
      <c r="J759" s="265" t="s">
        <v>1009</v>
      </c>
    </row>
    <row r="760" spans="2:10">
      <c r="B760" s="266"/>
      <c r="C760" s="267"/>
      <c r="D760" s="267"/>
      <c r="E760" s="268"/>
      <c r="F760" s="268"/>
      <c r="G760" s="268"/>
      <c r="H760" s="268"/>
      <c r="I760" s="268"/>
      <c r="J760" s="271"/>
    </row>
    <row r="761" spans="2:10">
      <c r="B761" s="266"/>
      <c r="C761" s="267"/>
      <c r="D761" s="267"/>
      <c r="E761" s="268"/>
      <c r="F761" s="268"/>
      <c r="G761" s="268"/>
      <c r="H761" s="268"/>
      <c r="I761" s="268"/>
      <c r="J761" s="271"/>
    </row>
    <row r="762" spans="2:10">
      <c r="B762" s="266"/>
      <c r="C762" s="267"/>
      <c r="D762" s="267"/>
      <c r="E762" s="268"/>
      <c r="F762" s="268"/>
      <c r="G762" s="268"/>
      <c r="H762" s="268"/>
      <c r="I762" s="268"/>
      <c r="J762" s="271"/>
    </row>
    <row r="763" spans="2:10">
      <c r="B763" s="266"/>
      <c r="C763" s="267"/>
      <c r="D763" s="267"/>
      <c r="E763" s="268"/>
      <c r="F763" s="268"/>
      <c r="G763" s="268"/>
      <c r="H763" s="268"/>
      <c r="I763" s="268"/>
      <c r="J763" s="271"/>
    </row>
    <row r="764" spans="2:10">
      <c r="B764" s="266"/>
      <c r="C764" s="266"/>
      <c r="D764" s="267"/>
      <c r="E764" s="267"/>
      <c r="F764" s="268"/>
      <c r="G764" s="268"/>
      <c r="H764" s="268"/>
      <c r="I764" s="268"/>
      <c r="J764" s="271"/>
    </row>
    <row r="765" spans="2:10">
      <c r="B765" s="686" t="s">
        <v>1011</v>
      </c>
      <c r="C765" s="687"/>
      <c r="D765" s="687"/>
      <c r="E765" s="687"/>
      <c r="F765" s="687"/>
      <c r="G765" s="687"/>
      <c r="H765" s="687"/>
      <c r="I765" s="688"/>
      <c r="J765" s="270">
        <f>ROUND(SUM(J760:J764),2)</f>
        <v>0</v>
      </c>
    </row>
    <row r="766" spans="2:10">
      <c r="B766" s="262"/>
      <c r="C766" s="262"/>
      <c r="D766" s="262"/>
      <c r="E766" s="262"/>
      <c r="F766" s="262"/>
      <c r="G766" s="262"/>
      <c r="H766" s="262"/>
      <c r="I766" s="262"/>
      <c r="J766" s="262"/>
    </row>
    <row r="767" spans="2:10">
      <c r="B767" s="691" t="s">
        <v>1014</v>
      </c>
      <c r="C767" s="691"/>
      <c r="D767" s="691"/>
      <c r="E767" s="691"/>
      <c r="F767" s="691"/>
      <c r="G767" s="691"/>
      <c r="H767" s="262"/>
      <c r="I767" s="262"/>
      <c r="J767" s="262"/>
    </row>
    <row r="768" spans="2:10">
      <c r="B768" s="692" t="s">
        <v>1015</v>
      </c>
      <c r="C768" s="693"/>
      <c r="D768" s="693"/>
      <c r="E768" s="694"/>
      <c r="F768" s="265" t="s">
        <v>1016</v>
      </c>
      <c r="G768" s="265" t="s">
        <v>1017</v>
      </c>
      <c r="H768" s="262"/>
      <c r="I768" s="262"/>
      <c r="J768" s="262"/>
    </row>
    <row r="769" spans="2:10">
      <c r="B769" s="678" t="s">
        <v>1018</v>
      </c>
      <c r="C769" s="679"/>
      <c r="D769" s="679"/>
      <c r="E769" s="680"/>
      <c r="F769" s="681">
        <f>$J$10</f>
        <v>0.91500000000000004</v>
      </c>
      <c r="G769" s="272">
        <f>J736</f>
        <v>350</v>
      </c>
      <c r="H769" s="262"/>
      <c r="I769" s="262"/>
      <c r="J769" s="262"/>
    </row>
    <row r="770" spans="2:10">
      <c r="B770" s="678" t="s">
        <v>1019</v>
      </c>
      <c r="C770" s="679"/>
      <c r="D770" s="679"/>
      <c r="E770" s="680"/>
      <c r="F770" s="695"/>
      <c r="G770" s="272">
        <f>J757</f>
        <v>1344.36</v>
      </c>
      <c r="H770" s="262"/>
      <c r="I770" s="262"/>
      <c r="J770" s="262"/>
    </row>
    <row r="771" spans="2:10">
      <c r="B771" s="678" t="s">
        <v>1020</v>
      </c>
      <c r="C771" s="679"/>
      <c r="D771" s="679"/>
      <c r="E771" s="680"/>
      <c r="F771" s="695"/>
      <c r="G771" s="272">
        <f>J765</f>
        <v>0</v>
      </c>
      <c r="H771" s="262"/>
      <c r="I771" s="262"/>
      <c r="J771" s="262"/>
    </row>
    <row r="772" spans="2:10">
      <c r="B772" s="678" t="s">
        <v>1021</v>
      </c>
      <c r="C772" s="679"/>
      <c r="D772" s="679"/>
      <c r="E772" s="680"/>
      <c r="F772" s="695"/>
      <c r="G772" s="272">
        <v>1</v>
      </c>
      <c r="H772" s="262"/>
      <c r="I772" s="262"/>
      <c r="J772" s="262"/>
    </row>
    <row r="773" spans="2:10">
      <c r="B773" s="678" t="s">
        <v>1022</v>
      </c>
      <c r="C773" s="679"/>
      <c r="D773" s="679"/>
      <c r="E773" s="680"/>
      <c r="F773" s="695"/>
      <c r="G773" s="272">
        <f>G769+G771</f>
        <v>350</v>
      </c>
      <c r="H773" s="262"/>
      <c r="I773" s="262"/>
      <c r="J773" s="262"/>
    </row>
    <row r="774" spans="2:10">
      <c r="B774" s="678" t="s">
        <v>1023</v>
      </c>
      <c r="C774" s="679"/>
      <c r="D774" s="679"/>
      <c r="E774" s="680"/>
      <c r="F774" s="695"/>
      <c r="G774" s="272">
        <f>G773/G772</f>
        <v>350</v>
      </c>
      <c r="H774" s="262"/>
      <c r="I774" s="262"/>
      <c r="J774" s="262"/>
    </row>
    <row r="775" spans="2:10">
      <c r="B775" s="678" t="s">
        <v>1024</v>
      </c>
      <c r="C775" s="679"/>
      <c r="D775" s="679"/>
      <c r="E775" s="680"/>
      <c r="F775" s="682"/>
      <c r="G775" s="272">
        <f>G770+G774</f>
        <v>1694.36</v>
      </c>
      <c r="H775" s="262"/>
      <c r="I775" s="262"/>
      <c r="J775" s="262"/>
    </row>
    <row r="776" spans="2:10">
      <c r="B776" s="678" t="s">
        <v>1025</v>
      </c>
      <c r="C776" s="679"/>
      <c r="D776" s="679"/>
      <c r="E776" s="680"/>
      <c r="F776" s="681">
        <f>$J$11</f>
        <v>0.14019999999999999</v>
      </c>
      <c r="G776" s="272">
        <f>G775*F776</f>
        <v>237.54927199999997</v>
      </c>
      <c r="H776" s="262"/>
      <c r="I776" s="262"/>
      <c r="J776" s="262"/>
    </row>
    <row r="777" spans="2:10">
      <c r="B777" s="683" t="s">
        <v>1026</v>
      </c>
      <c r="C777" s="684"/>
      <c r="D777" s="684"/>
      <c r="E777" s="685"/>
      <c r="F777" s="682"/>
      <c r="G777" s="273">
        <f>ROUND(SUM(G775+G776),2)</f>
        <v>1931.91</v>
      </c>
      <c r="H777" s="262"/>
      <c r="I777" s="262"/>
      <c r="J777" s="307"/>
    </row>
    <row r="778" spans="2:10" ht="15.75" thickBot="1"/>
    <row r="779" spans="2:10" ht="15.75" thickBot="1">
      <c r="B779" s="696" t="s">
        <v>990</v>
      </c>
      <c r="C779" s="697"/>
      <c r="D779" s="697"/>
      <c r="E779" s="697"/>
      <c r="F779" s="697"/>
      <c r="G779" s="697"/>
      <c r="H779" s="697"/>
      <c r="I779" s="697"/>
      <c r="J779" s="698"/>
    </row>
    <row r="780" spans="2:10">
      <c r="B780" s="699" t="s">
        <v>7</v>
      </c>
      <c r="C780" s="699"/>
      <c r="D780" s="699"/>
      <c r="E780" s="699"/>
      <c r="F780" s="699"/>
      <c r="G780" s="699"/>
      <c r="H780" s="699"/>
      <c r="I780" s="699"/>
      <c r="J780" s="699"/>
    </row>
    <row r="781" spans="2:10" ht="15.75" thickBot="1">
      <c r="B781" s="699" t="s">
        <v>8</v>
      </c>
      <c r="C781" s="699"/>
      <c r="D781" s="699"/>
      <c r="E781" s="699"/>
      <c r="F781" s="699"/>
      <c r="G781" s="699"/>
      <c r="H781" s="699"/>
      <c r="I781" s="699"/>
      <c r="J781" s="699"/>
    </row>
    <row r="782" spans="2:10">
      <c r="B782" s="700" t="s">
        <v>991</v>
      </c>
      <c r="C782" s="249" t="s">
        <v>992</v>
      </c>
      <c r="D782" s="250">
        <v>6</v>
      </c>
      <c r="E782" s="251" t="s">
        <v>993</v>
      </c>
      <c r="F782" s="252">
        <v>2017</v>
      </c>
      <c r="G782" s="253"/>
      <c r="H782" s="253"/>
      <c r="I782" s="251" t="s">
        <v>994</v>
      </c>
      <c r="J782" s="306" t="s">
        <v>792</v>
      </c>
    </row>
    <row r="783" spans="2:10">
      <c r="B783" s="701"/>
      <c r="C783" s="255" t="s">
        <v>995</v>
      </c>
      <c r="D783" s="703" t="s">
        <v>1130</v>
      </c>
      <c r="E783" s="704"/>
      <c r="F783" s="256"/>
      <c r="G783" s="256"/>
      <c r="H783" s="256"/>
      <c r="I783" s="256"/>
      <c r="J783" s="257"/>
    </row>
    <row r="784" spans="2:10" ht="15.75">
      <c r="B784" s="701"/>
      <c r="C784" s="255" t="s">
        <v>997</v>
      </c>
      <c r="D784" s="705" t="s">
        <v>793</v>
      </c>
      <c r="E784" s="705"/>
      <c r="F784" s="705"/>
      <c r="G784" s="705"/>
      <c r="H784" s="705"/>
      <c r="I784" s="705"/>
      <c r="J784" s="706"/>
    </row>
    <row r="785" spans="2:10" ht="15.75" thickBot="1">
      <c r="B785" s="702"/>
      <c r="C785" s="258" t="s">
        <v>999</v>
      </c>
      <c r="D785" s="308" t="s">
        <v>801</v>
      </c>
      <c r="E785" s="260"/>
      <c r="F785" s="260"/>
      <c r="G785" s="260"/>
      <c r="H785" s="260"/>
      <c r="I785" s="260"/>
      <c r="J785" s="261"/>
    </row>
    <row r="786" spans="2:10">
      <c r="B786" s="262"/>
      <c r="C786" s="262"/>
      <c r="D786" s="262"/>
      <c r="E786" s="262"/>
      <c r="F786" s="262"/>
      <c r="G786" s="262"/>
      <c r="H786" s="262"/>
      <c r="I786" s="262"/>
      <c r="J786" s="262"/>
    </row>
    <row r="787" spans="2:10" ht="30">
      <c r="B787" s="263" t="s">
        <v>1001</v>
      </c>
      <c r="C787" s="264" t="s">
        <v>1002</v>
      </c>
      <c r="D787" s="264" t="s">
        <v>1003</v>
      </c>
      <c r="E787" s="265" t="s">
        <v>1004</v>
      </c>
      <c r="F787" s="265" t="s">
        <v>1005</v>
      </c>
      <c r="G787" s="265" t="s">
        <v>1006</v>
      </c>
      <c r="H787" s="265" t="s">
        <v>1007</v>
      </c>
      <c r="I787" s="265" t="s">
        <v>1008</v>
      </c>
      <c r="J787" s="265" t="s">
        <v>1009</v>
      </c>
    </row>
    <row r="788" spans="2:10">
      <c r="B788" s="295" t="s">
        <v>1129</v>
      </c>
      <c r="C788" s="296" t="s">
        <v>801</v>
      </c>
      <c r="D788" s="267"/>
      <c r="E788" s="268">
        <v>1</v>
      </c>
      <c r="F788" s="268"/>
      <c r="G788" s="302">
        <v>380</v>
      </c>
      <c r="H788" s="268">
        <v>0</v>
      </c>
      <c r="I788" s="310">
        <f>G788</f>
        <v>380</v>
      </c>
      <c r="J788" s="269">
        <f>I788*E788</f>
        <v>380</v>
      </c>
    </row>
    <row r="789" spans="2:10">
      <c r="B789" s="295"/>
      <c r="C789" s="267"/>
      <c r="D789" s="267"/>
      <c r="E789" s="268"/>
      <c r="F789" s="268"/>
      <c r="G789" s="302"/>
      <c r="H789" s="268">
        <v>0</v>
      </c>
      <c r="I789" s="268">
        <f t="shared" ref="I789:I790" si="20">ROUND(G789*(1+$J$10),2)</f>
        <v>0</v>
      </c>
      <c r="J789" s="269">
        <f>I789*E789</f>
        <v>0</v>
      </c>
    </row>
    <row r="790" spans="2:10">
      <c r="B790" s="266"/>
      <c r="C790" s="267"/>
      <c r="D790" s="267"/>
      <c r="E790" s="268"/>
      <c r="F790" s="268"/>
      <c r="G790" s="268"/>
      <c r="H790" s="268">
        <v>0</v>
      </c>
      <c r="I790" s="268">
        <f t="shared" si="20"/>
        <v>0</v>
      </c>
      <c r="J790" s="269">
        <f>I790*E790</f>
        <v>0</v>
      </c>
    </row>
    <row r="791" spans="2:10">
      <c r="B791" s="266"/>
      <c r="C791" s="267"/>
      <c r="D791" s="267"/>
      <c r="E791" s="268"/>
      <c r="F791" s="268"/>
      <c r="G791" s="268"/>
      <c r="H791" s="268"/>
      <c r="I791" s="268"/>
      <c r="J791" s="269"/>
    </row>
    <row r="792" spans="2:10">
      <c r="B792" s="266"/>
      <c r="C792" s="267"/>
      <c r="D792" s="267"/>
      <c r="E792" s="268"/>
      <c r="F792" s="268"/>
      <c r="G792" s="268"/>
      <c r="H792" s="268"/>
      <c r="I792" s="268"/>
      <c r="J792" s="269"/>
    </row>
    <row r="793" spans="2:10">
      <c r="B793" s="266"/>
      <c r="C793" s="266"/>
      <c r="D793" s="267"/>
      <c r="E793" s="267"/>
      <c r="F793" s="268"/>
      <c r="G793" s="268"/>
      <c r="H793" s="268"/>
      <c r="I793" s="268"/>
      <c r="J793" s="269"/>
    </row>
    <row r="794" spans="2:10">
      <c r="B794" s="686" t="s">
        <v>1011</v>
      </c>
      <c r="C794" s="687"/>
      <c r="D794" s="687"/>
      <c r="E794" s="687"/>
      <c r="F794" s="687"/>
      <c r="G794" s="687"/>
      <c r="H794" s="687"/>
      <c r="I794" s="688"/>
      <c r="J794" s="270">
        <f>ROUND(SUM(J788:J793),2)</f>
        <v>380</v>
      </c>
    </row>
    <row r="795" spans="2:10">
      <c r="B795" s="689"/>
      <c r="C795" s="689"/>
      <c r="D795" s="689"/>
      <c r="E795" s="689"/>
      <c r="F795" s="689"/>
      <c r="G795" s="689"/>
      <c r="H795" s="689"/>
      <c r="I795" s="689"/>
      <c r="J795" s="689"/>
    </row>
    <row r="796" spans="2:10" ht="30">
      <c r="B796" s="263" t="s">
        <v>1012</v>
      </c>
      <c r="C796" s="264" t="s">
        <v>1002</v>
      </c>
      <c r="D796" s="264" t="s">
        <v>1072</v>
      </c>
      <c r="E796" s="265" t="s">
        <v>1004</v>
      </c>
      <c r="F796" s="265" t="s">
        <v>1005</v>
      </c>
      <c r="G796" s="265" t="s">
        <v>1006</v>
      </c>
      <c r="H796" s="265" t="s">
        <v>1007</v>
      </c>
      <c r="I796" s="265" t="s">
        <v>1008</v>
      </c>
      <c r="J796" s="265" t="s">
        <v>1009</v>
      </c>
    </row>
    <row r="797" spans="2:10">
      <c r="B797" s="303" t="s">
        <v>793</v>
      </c>
      <c r="C797" s="296" t="s">
        <v>698</v>
      </c>
      <c r="D797" s="267">
        <v>39838</v>
      </c>
      <c r="E797" s="268">
        <v>1</v>
      </c>
      <c r="F797" s="268">
        <v>1</v>
      </c>
      <c r="G797" s="309">
        <v>3359.76</v>
      </c>
      <c r="H797" s="268">
        <v>0</v>
      </c>
      <c r="I797" s="268">
        <f>G797</f>
        <v>3359.76</v>
      </c>
      <c r="J797" s="269">
        <f>I797*E797</f>
        <v>3359.76</v>
      </c>
    </row>
    <row r="798" spans="2:10">
      <c r="B798" s="295"/>
      <c r="C798" s="296"/>
      <c r="D798" s="267"/>
      <c r="E798" s="268"/>
      <c r="F798" s="268"/>
      <c r="G798" s="268"/>
      <c r="H798" s="268">
        <v>0</v>
      </c>
      <c r="I798" s="268">
        <f>G798</f>
        <v>0</v>
      </c>
      <c r="J798" s="269">
        <f>I798*E798</f>
        <v>0</v>
      </c>
    </row>
    <row r="799" spans="2:10">
      <c r="B799" s="295"/>
      <c r="C799" s="296"/>
      <c r="D799" s="267"/>
      <c r="E799" s="268"/>
      <c r="F799" s="268"/>
      <c r="G799" s="268"/>
      <c r="H799" s="268"/>
      <c r="I799" s="268"/>
      <c r="J799" s="269"/>
    </row>
    <row r="800" spans="2:10">
      <c r="B800" s="295"/>
      <c r="C800" s="296"/>
      <c r="D800" s="296"/>
      <c r="E800" s="268"/>
      <c r="F800" s="268"/>
      <c r="G800" s="268"/>
      <c r="H800" s="268"/>
      <c r="I800" s="268"/>
      <c r="J800" s="269"/>
    </row>
    <row r="801" spans="2:10">
      <c r="B801" s="295"/>
      <c r="C801" s="266"/>
      <c r="D801" s="267"/>
      <c r="E801" s="267"/>
      <c r="F801" s="268"/>
      <c r="G801" s="268"/>
      <c r="H801" s="268"/>
      <c r="I801" s="268"/>
      <c r="J801" s="269"/>
    </row>
    <row r="802" spans="2:10">
      <c r="B802" s="266"/>
      <c r="C802" s="266"/>
      <c r="D802" s="267"/>
      <c r="E802" s="267"/>
      <c r="F802" s="268"/>
      <c r="G802" s="268"/>
      <c r="H802" s="268"/>
      <c r="I802" s="268"/>
      <c r="J802" s="269"/>
    </row>
    <row r="803" spans="2:10">
      <c r="B803" s="266"/>
      <c r="C803" s="266"/>
      <c r="D803" s="267"/>
      <c r="E803" s="267"/>
      <c r="F803" s="268"/>
      <c r="G803" s="268"/>
      <c r="H803" s="268"/>
      <c r="I803" s="268"/>
      <c r="J803" s="269"/>
    </row>
    <row r="804" spans="2:10">
      <c r="B804" s="266"/>
      <c r="C804" s="266"/>
      <c r="D804" s="267"/>
      <c r="E804" s="267"/>
      <c r="F804" s="268"/>
      <c r="G804" s="268"/>
      <c r="H804" s="268"/>
      <c r="I804" s="268"/>
      <c r="J804" s="269"/>
    </row>
    <row r="805" spans="2:10">
      <c r="B805" s="266"/>
      <c r="C805" s="266"/>
      <c r="D805" s="267"/>
      <c r="E805" s="267"/>
      <c r="F805" s="268"/>
      <c r="G805" s="268"/>
      <c r="H805" s="268"/>
      <c r="I805" s="268"/>
      <c r="J805" s="269"/>
    </row>
    <row r="806" spans="2:10">
      <c r="B806" s="266"/>
      <c r="C806" s="266"/>
      <c r="D806" s="267"/>
      <c r="E806" s="267"/>
      <c r="F806" s="268"/>
      <c r="G806" s="268"/>
      <c r="H806" s="268"/>
      <c r="I806" s="268"/>
      <c r="J806" s="269"/>
    </row>
    <row r="807" spans="2:10">
      <c r="B807" s="266"/>
      <c r="C807" s="266"/>
      <c r="D807" s="267"/>
      <c r="E807" s="267"/>
      <c r="F807" s="268"/>
      <c r="G807" s="268"/>
      <c r="H807" s="268"/>
      <c r="I807" s="268"/>
      <c r="J807" s="269"/>
    </row>
    <row r="808" spans="2:10">
      <c r="B808" s="266"/>
      <c r="C808" s="266"/>
      <c r="D808" s="267"/>
      <c r="E808" s="267"/>
      <c r="F808" s="268"/>
      <c r="G808" s="268"/>
      <c r="H808" s="268"/>
      <c r="I808" s="268"/>
      <c r="J808" s="269"/>
    </row>
    <row r="809" spans="2:10">
      <c r="B809" s="266"/>
      <c r="C809" s="266"/>
      <c r="D809" s="267"/>
      <c r="E809" s="267"/>
      <c r="F809" s="268"/>
      <c r="G809" s="268"/>
      <c r="H809" s="268"/>
      <c r="I809" s="268"/>
      <c r="J809" s="269"/>
    </row>
    <row r="810" spans="2:10">
      <c r="B810" s="266"/>
      <c r="C810" s="266"/>
      <c r="D810" s="267"/>
      <c r="E810" s="267"/>
      <c r="F810" s="268"/>
      <c r="G810" s="268"/>
      <c r="H810" s="268"/>
      <c r="I810" s="268"/>
      <c r="J810" s="269"/>
    </row>
    <row r="811" spans="2:10">
      <c r="B811" s="266"/>
      <c r="C811" s="266"/>
      <c r="D811" s="267"/>
      <c r="E811" s="267"/>
      <c r="F811" s="268"/>
      <c r="G811" s="268"/>
      <c r="H811" s="268"/>
      <c r="I811" s="268"/>
      <c r="J811" s="269"/>
    </row>
    <row r="812" spans="2:10">
      <c r="B812" s="266"/>
      <c r="C812" s="266"/>
      <c r="D812" s="267"/>
      <c r="E812" s="267"/>
      <c r="F812" s="268"/>
      <c r="G812" s="268"/>
      <c r="H812" s="268"/>
      <c r="I812" s="268"/>
      <c r="J812" s="269"/>
    </row>
    <row r="813" spans="2:10">
      <c r="B813" s="266"/>
      <c r="C813" s="266"/>
      <c r="D813" s="267"/>
      <c r="E813" s="267"/>
      <c r="F813" s="268"/>
      <c r="G813" s="268"/>
      <c r="H813" s="268"/>
      <c r="I813" s="268"/>
      <c r="J813" s="269"/>
    </row>
    <row r="814" spans="2:10">
      <c r="B814" s="266"/>
      <c r="C814" s="266"/>
      <c r="D814" s="267"/>
      <c r="E814" s="267"/>
      <c r="F814" s="268"/>
      <c r="G814" s="268"/>
      <c r="H814" s="268"/>
      <c r="I814" s="268"/>
      <c r="J814" s="269"/>
    </row>
    <row r="815" spans="2:10">
      <c r="B815" s="686" t="s">
        <v>1011</v>
      </c>
      <c r="C815" s="687"/>
      <c r="D815" s="687"/>
      <c r="E815" s="687"/>
      <c r="F815" s="687"/>
      <c r="G815" s="687"/>
      <c r="H815" s="687"/>
      <c r="I815" s="688"/>
      <c r="J815" s="270">
        <f>ROUND(SUM(J797:J814),2)</f>
        <v>3359.76</v>
      </c>
    </row>
    <row r="816" spans="2:10">
      <c r="B816" s="690"/>
      <c r="C816" s="690"/>
      <c r="D816" s="690"/>
      <c r="E816" s="690"/>
      <c r="F816" s="690"/>
      <c r="G816" s="690"/>
      <c r="H816" s="690"/>
      <c r="I816" s="690"/>
      <c r="J816" s="690"/>
    </row>
    <row r="817" spans="2:10" ht="30">
      <c r="B817" s="263" t="s">
        <v>1013</v>
      </c>
      <c r="C817" s="264" t="s">
        <v>1002</v>
      </c>
      <c r="D817" s="264" t="s">
        <v>1003</v>
      </c>
      <c r="E817" s="265" t="s">
        <v>1004</v>
      </c>
      <c r="F817" s="265" t="s">
        <v>1005</v>
      </c>
      <c r="G817" s="265" t="s">
        <v>1006</v>
      </c>
      <c r="H817" s="265" t="s">
        <v>1007</v>
      </c>
      <c r="I817" s="265" t="s">
        <v>1008</v>
      </c>
      <c r="J817" s="265" t="s">
        <v>1009</v>
      </c>
    </row>
    <row r="818" spans="2:10">
      <c r="B818" s="266"/>
      <c r="C818" s="267"/>
      <c r="D818" s="267"/>
      <c r="E818" s="268"/>
      <c r="F818" s="268"/>
      <c r="G818" s="268"/>
      <c r="H818" s="268"/>
      <c r="I818" s="268"/>
      <c r="J818" s="271"/>
    </row>
    <row r="819" spans="2:10">
      <c r="B819" s="266"/>
      <c r="C819" s="267"/>
      <c r="D819" s="267"/>
      <c r="E819" s="268"/>
      <c r="F819" s="268"/>
      <c r="G819" s="268"/>
      <c r="H819" s="268"/>
      <c r="I819" s="268"/>
      <c r="J819" s="271"/>
    </row>
    <row r="820" spans="2:10">
      <c r="B820" s="266"/>
      <c r="C820" s="267"/>
      <c r="D820" s="267"/>
      <c r="E820" s="268"/>
      <c r="F820" s="268"/>
      <c r="G820" s="268"/>
      <c r="H820" s="268"/>
      <c r="I820" s="268"/>
      <c r="J820" s="271"/>
    </row>
    <row r="821" spans="2:10">
      <c r="B821" s="266"/>
      <c r="C821" s="267"/>
      <c r="D821" s="267"/>
      <c r="E821" s="268"/>
      <c r="F821" s="268"/>
      <c r="G821" s="268"/>
      <c r="H821" s="268"/>
      <c r="I821" s="268"/>
      <c r="J821" s="271"/>
    </row>
    <row r="822" spans="2:10">
      <c r="B822" s="266"/>
      <c r="C822" s="266"/>
      <c r="D822" s="267"/>
      <c r="E822" s="267"/>
      <c r="F822" s="268"/>
      <c r="G822" s="268"/>
      <c r="H822" s="268"/>
      <c r="I822" s="268"/>
      <c r="J822" s="271"/>
    </row>
    <row r="823" spans="2:10">
      <c r="B823" s="686" t="s">
        <v>1011</v>
      </c>
      <c r="C823" s="687"/>
      <c r="D823" s="687"/>
      <c r="E823" s="687"/>
      <c r="F823" s="687"/>
      <c r="G823" s="687"/>
      <c r="H823" s="687"/>
      <c r="I823" s="688"/>
      <c r="J823" s="270">
        <f>ROUND(SUM(J818:J822),2)</f>
        <v>0</v>
      </c>
    </row>
    <row r="824" spans="2:10">
      <c r="B824" s="262"/>
      <c r="C824" s="262"/>
      <c r="D824" s="262"/>
      <c r="E824" s="262"/>
      <c r="F824" s="262"/>
      <c r="G824" s="262"/>
      <c r="H824" s="262"/>
      <c r="I824" s="262"/>
      <c r="J824" s="262"/>
    </row>
    <row r="825" spans="2:10">
      <c r="B825" s="691" t="s">
        <v>1014</v>
      </c>
      <c r="C825" s="691"/>
      <c r="D825" s="691"/>
      <c r="E825" s="691"/>
      <c r="F825" s="691"/>
      <c r="G825" s="691"/>
      <c r="H825" s="262"/>
      <c r="I825" s="262"/>
      <c r="J825" s="262"/>
    </row>
    <row r="826" spans="2:10">
      <c r="B826" s="692" t="s">
        <v>1015</v>
      </c>
      <c r="C826" s="693"/>
      <c r="D826" s="693"/>
      <c r="E826" s="694"/>
      <c r="F826" s="265" t="s">
        <v>1016</v>
      </c>
      <c r="G826" s="265" t="s">
        <v>1017</v>
      </c>
      <c r="H826" s="262"/>
      <c r="I826" s="262"/>
      <c r="J826" s="262"/>
    </row>
    <row r="827" spans="2:10">
      <c r="B827" s="678" t="s">
        <v>1018</v>
      </c>
      <c r="C827" s="679"/>
      <c r="D827" s="679"/>
      <c r="E827" s="680"/>
      <c r="F827" s="681">
        <f>$J$10</f>
        <v>0.91500000000000004</v>
      </c>
      <c r="G827" s="272">
        <f>J794</f>
        <v>380</v>
      </c>
      <c r="H827" s="262"/>
      <c r="I827" s="262"/>
      <c r="J827" s="262"/>
    </row>
    <row r="828" spans="2:10">
      <c r="B828" s="678" t="s">
        <v>1019</v>
      </c>
      <c r="C828" s="679"/>
      <c r="D828" s="679"/>
      <c r="E828" s="680"/>
      <c r="F828" s="695"/>
      <c r="G828" s="272">
        <f>J815</f>
        <v>3359.76</v>
      </c>
      <c r="H828" s="262"/>
      <c r="I828" s="262"/>
      <c r="J828" s="262"/>
    </row>
    <row r="829" spans="2:10">
      <c r="B829" s="678" t="s">
        <v>1020</v>
      </c>
      <c r="C829" s="679"/>
      <c r="D829" s="679"/>
      <c r="E829" s="680"/>
      <c r="F829" s="695"/>
      <c r="G829" s="272">
        <f>J823</f>
        <v>0</v>
      </c>
      <c r="H829" s="262"/>
      <c r="I829" s="262"/>
      <c r="J829" s="262"/>
    </row>
    <row r="830" spans="2:10">
      <c r="B830" s="678" t="s">
        <v>1021</v>
      </c>
      <c r="C830" s="679"/>
      <c r="D830" s="679"/>
      <c r="E830" s="680"/>
      <c r="F830" s="695"/>
      <c r="G830" s="272">
        <v>1</v>
      </c>
      <c r="H830" s="262"/>
      <c r="I830" s="262"/>
      <c r="J830" s="262"/>
    </row>
    <row r="831" spans="2:10">
      <c r="B831" s="678" t="s">
        <v>1022</v>
      </c>
      <c r="C831" s="679"/>
      <c r="D831" s="679"/>
      <c r="E831" s="680"/>
      <c r="F831" s="695"/>
      <c r="G831" s="272">
        <f>G827+G829</f>
        <v>380</v>
      </c>
      <c r="H831" s="262"/>
      <c r="I831" s="262"/>
      <c r="J831" s="262"/>
    </row>
    <row r="832" spans="2:10">
      <c r="B832" s="678" t="s">
        <v>1023</v>
      </c>
      <c r="C832" s="679"/>
      <c r="D832" s="679"/>
      <c r="E832" s="680"/>
      <c r="F832" s="695"/>
      <c r="G832" s="272">
        <f>G831/G830</f>
        <v>380</v>
      </c>
      <c r="H832" s="262"/>
      <c r="I832" s="262"/>
      <c r="J832" s="262"/>
    </row>
    <row r="833" spans="2:10">
      <c r="B833" s="678" t="s">
        <v>1024</v>
      </c>
      <c r="C833" s="679"/>
      <c r="D833" s="679"/>
      <c r="E833" s="680"/>
      <c r="F833" s="682"/>
      <c r="G833" s="272">
        <f>G828+G832</f>
        <v>3739.76</v>
      </c>
      <c r="H833" s="262"/>
      <c r="I833" s="262"/>
      <c r="J833" s="262"/>
    </row>
    <row r="834" spans="2:10">
      <c r="B834" s="678" t="s">
        <v>1025</v>
      </c>
      <c r="C834" s="679"/>
      <c r="D834" s="679"/>
      <c r="E834" s="680"/>
      <c r="F834" s="681">
        <f>$J$11</f>
        <v>0.14019999999999999</v>
      </c>
      <c r="G834" s="272">
        <f>G833*F834</f>
        <v>524.31435199999999</v>
      </c>
      <c r="H834" s="262"/>
      <c r="I834" s="262"/>
      <c r="J834" s="262"/>
    </row>
    <row r="835" spans="2:10">
      <c r="B835" s="683" t="s">
        <v>1026</v>
      </c>
      <c r="C835" s="684"/>
      <c r="D835" s="684"/>
      <c r="E835" s="685"/>
      <c r="F835" s="682"/>
      <c r="G835" s="273">
        <f>ROUND(SUM(G833+G834),2)</f>
        <v>4264.07</v>
      </c>
      <c r="H835" s="262"/>
      <c r="I835" s="262"/>
      <c r="J835" s="307"/>
    </row>
    <row r="836" spans="2:10" ht="15.75" thickBot="1"/>
    <row r="837" spans="2:10" ht="15.75" thickBot="1">
      <c r="B837" s="696" t="s">
        <v>990</v>
      </c>
      <c r="C837" s="697"/>
      <c r="D837" s="697"/>
      <c r="E837" s="697"/>
      <c r="F837" s="697"/>
      <c r="G837" s="697"/>
      <c r="H837" s="697"/>
      <c r="I837" s="697"/>
      <c r="J837" s="698"/>
    </row>
    <row r="838" spans="2:10">
      <c r="B838" s="699" t="s">
        <v>7</v>
      </c>
      <c r="C838" s="699"/>
      <c r="D838" s="699"/>
      <c r="E838" s="699"/>
      <c r="F838" s="699"/>
      <c r="G838" s="699"/>
      <c r="H838" s="699"/>
      <c r="I838" s="699"/>
      <c r="J838" s="699"/>
    </row>
    <row r="839" spans="2:10" ht="15.75" thickBot="1">
      <c r="B839" s="699" t="s">
        <v>8</v>
      </c>
      <c r="C839" s="699"/>
      <c r="D839" s="699"/>
      <c r="E839" s="699"/>
      <c r="F839" s="699"/>
      <c r="G839" s="699"/>
      <c r="H839" s="699"/>
      <c r="I839" s="699"/>
      <c r="J839" s="699"/>
    </row>
    <row r="840" spans="2:10">
      <c r="B840" s="700" t="s">
        <v>991</v>
      </c>
      <c r="C840" s="249" t="s">
        <v>992</v>
      </c>
      <c r="D840" s="250">
        <v>6</v>
      </c>
      <c r="E840" s="251" t="s">
        <v>993</v>
      </c>
      <c r="F840" s="252">
        <v>2017</v>
      </c>
      <c r="G840" s="253"/>
      <c r="H840" s="253"/>
      <c r="I840" s="251" t="s">
        <v>994</v>
      </c>
      <c r="J840" s="306" t="s">
        <v>794</v>
      </c>
    </row>
    <row r="841" spans="2:10">
      <c r="B841" s="701"/>
      <c r="C841" s="255" t="s">
        <v>995</v>
      </c>
      <c r="D841" s="703" t="s">
        <v>1131</v>
      </c>
      <c r="E841" s="704"/>
      <c r="F841" s="256"/>
      <c r="G841" s="256"/>
      <c r="H841" s="256"/>
      <c r="I841" s="256"/>
      <c r="J841" s="257"/>
    </row>
    <row r="842" spans="2:10" ht="15.75">
      <c r="B842" s="701"/>
      <c r="C842" s="255" t="s">
        <v>997</v>
      </c>
      <c r="D842" s="705" t="s">
        <v>795</v>
      </c>
      <c r="E842" s="705"/>
      <c r="F842" s="705"/>
      <c r="G842" s="705"/>
      <c r="H842" s="705"/>
      <c r="I842" s="705"/>
      <c r="J842" s="706"/>
    </row>
    <row r="843" spans="2:10" ht="15.75" thickBot="1">
      <c r="B843" s="702"/>
      <c r="C843" s="258" t="s">
        <v>999</v>
      </c>
      <c r="D843" s="308" t="s">
        <v>801</v>
      </c>
      <c r="E843" s="260"/>
      <c r="F843" s="260"/>
      <c r="G843" s="260"/>
      <c r="H843" s="260"/>
      <c r="I843" s="260"/>
      <c r="J843" s="261"/>
    </row>
    <row r="844" spans="2:10">
      <c r="B844" s="262"/>
      <c r="C844" s="262"/>
      <c r="D844" s="262"/>
      <c r="E844" s="262"/>
      <c r="F844" s="262"/>
      <c r="G844" s="262"/>
      <c r="H844" s="262"/>
      <c r="I844" s="262"/>
      <c r="J844" s="262"/>
    </row>
    <row r="845" spans="2:10" ht="30">
      <c r="B845" s="263" t="s">
        <v>1001</v>
      </c>
      <c r="C845" s="264" t="s">
        <v>1002</v>
      </c>
      <c r="D845" s="264" t="s">
        <v>1003</v>
      </c>
      <c r="E845" s="265" t="s">
        <v>1004</v>
      </c>
      <c r="F845" s="265" t="s">
        <v>1005</v>
      </c>
      <c r="G845" s="265" t="s">
        <v>1006</v>
      </c>
      <c r="H845" s="265" t="s">
        <v>1007</v>
      </c>
      <c r="I845" s="265" t="s">
        <v>1008</v>
      </c>
      <c r="J845" s="265" t="s">
        <v>1009</v>
      </c>
    </row>
    <row r="846" spans="2:10">
      <c r="B846" s="295" t="s">
        <v>1129</v>
      </c>
      <c r="C846" s="296" t="s">
        <v>801</v>
      </c>
      <c r="D846" s="267"/>
      <c r="E846" s="268">
        <v>1</v>
      </c>
      <c r="F846" s="268"/>
      <c r="G846" s="302">
        <v>750</v>
      </c>
      <c r="H846" s="268">
        <v>0</v>
      </c>
      <c r="I846" s="310">
        <f>G846</f>
        <v>750</v>
      </c>
      <c r="J846" s="269">
        <f>I846*E846</f>
        <v>750</v>
      </c>
    </row>
    <row r="847" spans="2:10">
      <c r="B847" s="295"/>
      <c r="C847" s="267"/>
      <c r="D847" s="267"/>
      <c r="E847" s="268"/>
      <c r="F847" s="268"/>
      <c r="G847" s="302"/>
      <c r="H847" s="268">
        <v>0</v>
      </c>
      <c r="I847" s="268">
        <f t="shared" ref="I847:I848" si="21">ROUND(G847*(1+$J$10),2)</f>
        <v>0</v>
      </c>
      <c r="J847" s="269">
        <f>I847*E847</f>
        <v>0</v>
      </c>
    </row>
    <row r="848" spans="2:10">
      <c r="B848" s="266"/>
      <c r="C848" s="267"/>
      <c r="D848" s="267"/>
      <c r="E848" s="268"/>
      <c r="F848" s="268"/>
      <c r="G848" s="268"/>
      <c r="H848" s="268">
        <v>0</v>
      </c>
      <c r="I848" s="268">
        <f t="shared" si="21"/>
        <v>0</v>
      </c>
      <c r="J848" s="269">
        <f>I848*E848</f>
        <v>0</v>
      </c>
    </row>
    <row r="849" spans="2:10">
      <c r="B849" s="266"/>
      <c r="C849" s="267"/>
      <c r="D849" s="267"/>
      <c r="E849" s="268"/>
      <c r="F849" s="268"/>
      <c r="G849" s="268"/>
      <c r="H849" s="268"/>
      <c r="I849" s="268"/>
      <c r="J849" s="269"/>
    </row>
    <row r="850" spans="2:10">
      <c r="B850" s="266"/>
      <c r="C850" s="267"/>
      <c r="D850" s="267"/>
      <c r="E850" s="268"/>
      <c r="F850" s="268"/>
      <c r="G850" s="268"/>
      <c r="H850" s="268"/>
      <c r="I850" s="268"/>
      <c r="J850" s="269"/>
    </row>
    <row r="851" spans="2:10">
      <c r="B851" s="266"/>
      <c r="C851" s="266"/>
      <c r="D851" s="267"/>
      <c r="E851" s="267"/>
      <c r="F851" s="268"/>
      <c r="G851" s="268"/>
      <c r="H851" s="268"/>
      <c r="I851" s="268"/>
      <c r="J851" s="269"/>
    </row>
    <row r="852" spans="2:10">
      <c r="B852" s="686" t="s">
        <v>1011</v>
      </c>
      <c r="C852" s="687"/>
      <c r="D852" s="687"/>
      <c r="E852" s="687"/>
      <c r="F852" s="687"/>
      <c r="G852" s="687"/>
      <c r="H852" s="687"/>
      <c r="I852" s="688"/>
      <c r="J852" s="270">
        <f>ROUND(SUM(J846:J851),2)</f>
        <v>750</v>
      </c>
    </row>
    <row r="853" spans="2:10">
      <c r="B853" s="689"/>
      <c r="C853" s="689"/>
      <c r="D853" s="689"/>
      <c r="E853" s="689"/>
      <c r="F853" s="689"/>
      <c r="G853" s="689"/>
      <c r="H853" s="689"/>
      <c r="I853" s="689"/>
      <c r="J853" s="689"/>
    </row>
    <row r="854" spans="2:10" ht="30">
      <c r="B854" s="263" t="s">
        <v>1012</v>
      </c>
      <c r="C854" s="264" t="s">
        <v>1002</v>
      </c>
      <c r="D854" s="264" t="s">
        <v>1072</v>
      </c>
      <c r="E854" s="265" t="s">
        <v>1004</v>
      </c>
      <c r="F854" s="265" t="s">
        <v>1005</v>
      </c>
      <c r="G854" s="265" t="s">
        <v>1006</v>
      </c>
      <c r="H854" s="265" t="s">
        <v>1007</v>
      </c>
      <c r="I854" s="265" t="s">
        <v>1008</v>
      </c>
      <c r="J854" s="265" t="s">
        <v>1009</v>
      </c>
    </row>
    <row r="855" spans="2:10">
      <c r="B855" s="303" t="s">
        <v>795</v>
      </c>
      <c r="C855" s="296" t="s">
        <v>698</v>
      </c>
      <c r="D855" s="267">
        <v>39841</v>
      </c>
      <c r="E855" s="268">
        <v>1</v>
      </c>
      <c r="F855" s="268">
        <v>1</v>
      </c>
      <c r="G855" s="309">
        <v>4756.4799999999996</v>
      </c>
      <c r="H855" s="268">
        <v>0</v>
      </c>
      <c r="I855" s="268">
        <f>G855</f>
        <v>4756.4799999999996</v>
      </c>
      <c r="J855" s="269">
        <f>I855*E855</f>
        <v>4756.4799999999996</v>
      </c>
    </row>
    <row r="856" spans="2:10">
      <c r="B856" s="295"/>
      <c r="C856" s="296"/>
      <c r="D856" s="267"/>
      <c r="E856" s="268"/>
      <c r="F856" s="268"/>
      <c r="G856" s="268"/>
      <c r="H856" s="268">
        <v>0</v>
      </c>
      <c r="I856" s="268">
        <f>G856</f>
        <v>0</v>
      </c>
      <c r="J856" s="269">
        <f>I856*E856</f>
        <v>0</v>
      </c>
    </row>
    <row r="857" spans="2:10">
      <c r="B857" s="295"/>
      <c r="C857" s="296"/>
      <c r="D857" s="267"/>
      <c r="E857" s="268"/>
      <c r="F857" s="268"/>
      <c r="G857" s="268"/>
      <c r="H857" s="268"/>
      <c r="I857" s="268"/>
      <c r="J857" s="269"/>
    </row>
    <row r="858" spans="2:10">
      <c r="B858" s="295"/>
      <c r="C858" s="296"/>
      <c r="D858" s="296"/>
      <c r="E858" s="268"/>
      <c r="F858" s="268"/>
      <c r="G858" s="268"/>
      <c r="H858" s="268"/>
      <c r="I858" s="268"/>
      <c r="J858" s="269"/>
    </row>
    <row r="859" spans="2:10">
      <c r="B859" s="295"/>
      <c r="C859" s="266"/>
      <c r="D859" s="267"/>
      <c r="E859" s="267"/>
      <c r="F859" s="268"/>
      <c r="G859" s="268"/>
      <c r="H859" s="268"/>
      <c r="I859" s="268"/>
      <c r="J859" s="269"/>
    </row>
    <row r="860" spans="2:10">
      <c r="B860" s="266"/>
      <c r="C860" s="266"/>
      <c r="D860" s="267"/>
      <c r="E860" s="267"/>
      <c r="F860" s="268"/>
      <c r="G860" s="268"/>
      <c r="H860" s="268"/>
      <c r="I860" s="268"/>
      <c r="J860" s="269"/>
    </row>
    <row r="861" spans="2:10">
      <c r="B861" s="266"/>
      <c r="C861" s="266"/>
      <c r="D861" s="267"/>
      <c r="E861" s="267"/>
      <c r="F861" s="268"/>
      <c r="G861" s="268"/>
      <c r="H861" s="268"/>
      <c r="I861" s="268"/>
      <c r="J861" s="269"/>
    </row>
    <row r="862" spans="2:10">
      <c r="B862" s="266"/>
      <c r="C862" s="266"/>
      <c r="D862" s="267"/>
      <c r="E862" s="267"/>
      <c r="F862" s="268"/>
      <c r="G862" s="268"/>
      <c r="H862" s="268"/>
      <c r="I862" s="268"/>
      <c r="J862" s="269"/>
    </row>
    <row r="863" spans="2:10">
      <c r="B863" s="266"/>
      <c r="C863" s="266"/>
      <c r="D863" s="267"/>
      <c r="E863" s="267"/>
      <c r="F863" s="268"/>
      <c r="G863" s="268"/>
      <c r="H863" s="268"/>
      <c r="I863" s="268"/>
      <c r="J863" s="269"/>
    </row>
    <row r="864" spans="2:10">
      <c r="B864" s="266"/>
      <c r="C864" s="266"/>
      <c r="D864" s="267"/>
      <c r="E864" s="267"/>
      <c r="F864" s="268"/>
      <c r="G864" s="268"/>
      <c r="H864" s="268"/>
      <c r="I864" s="268"/>
      <c r="J864" s="269"/>
    </row>
    <row r="865" spans="2:10">
      <c r="B865" s="266"/>
      <c r="C865" s="266"/>
      <c r="D865" s="267"/>
      <c r="E865" s="267"/>
      <c r="F865" s="268"/>
      <c r="G865" s="268"/>
      <c r="H865" s="268"/>
      <c r="I865" s="268"/>
      <c r="J865" s="269"/>
    </row>
    <row r="866" spans="2:10">
      <c r="B866" s="266"/>
      <c r="C866" s="266"/>
      <c r="D866" s="267"/>
      <c r="E866" s="267"/>
      <c r="F866" s="268"/>
      <c r="G866" s="268"/>
      <c r="H866" s="268"/>
      <c r="I866" s="268"/>
      <c r="J866" s="269"/>
    </row>
    <row r="867" spans="2:10">
      <c r="B867" s="266"/>
      <c r="C867" s="266"/>
      <c r="D867" s="267"/>
      <c r="E867" s="267"/>
      <c r="F867" s="268"/>
      <c r="G867" s="268"/>
      <c r="H867" s="268"/>
      <c r="I867" s="268"/>
      <c r="J867" s="269"/>
    </row>
    <row r="868" spans="2:10">
      <c r="B868" s="266"/>
      <c r="C868" s="266"/>
      <c r="D868" s="267"/>
      <c r="E868" s="267"/>
      <c r="F868" s="268"/>
      <c r="G868" s="268"/>
      <c r="H868" s="268"/>
      <c r="I868" s="268"/>
      <c r="J868" s="269"/>
    </row>
    <row r="869" spans="2:10">
      <c r="B869" s="266"/>
      <c r="C869" s="266"/>
      <c r="D869" s="267"/>
      <c r="E869" s="267"/>
      <c r="F869" s="268"/>
      <c r="G869" s="268"/>
      <c r="H869" s="268"/>
      <c r="I869" s="268"/>
      <c r="J869" s="269"/>
    </row>
    <row r="870" spans="2:10">
      <c r="B870" s="266"/>
      <c r="C870" s="266"/>
      <c r="D870" s="267"/>
      <c r="E870" s="267"/>
      <c r="F870" s="268"/>
      <c r="G870" s="268"/>
      <c r="H870" s="268"/>
      <c r="I870" s="268"/>
      <c r="J870" s="269"/>
    </row>
    <row r="871" spans="2:10">
      <c r="B871" s="266"/>
      <c r="C871" s="266"/>
      <c r="D871" s="267"/>
      <c r="E871" s="267"/>
      <c r="F871" s="268"/>
      <c r="G871" s="268"/>
      <c r="H871" s="268"/>
      <c r="I871" s="268"/>
      <c r="J871" s="269"/>
    </row>
    <row r="872" spans="2:10">
      <c r="B872" s="266"/>
      <c r="C872" s="266"/>
      <c r="D872" s="267"/>
      <c r="E872" s="267"/>
      <c r="F872" s="268"/>
      <c r="G872" s="268"/>
      <c r="H872" s="268"/>
      <c r="I872" s="268"/>
      <c r="J872" s="269"/>
    </row>
    <row r="873" spans="2:10">
      <c r="B873" s="686" t="s">
        <v>1011</v>
      </c>
      <c r="C873" s="687"/>
      <c r="D873" s="687"/>
      <c r="E873" s="687"/>
      <c r="F873" s="687"/>
      <c r="G873" s="687"/>
      <c r="H873" s="687"/>
      <c r="I873" s="688"/>
      <c r="J873" s="270">
        <f>ROUND(SUM(J855:J872),2)</f>
        <v>4756.4799999999996</v>
      </c>
    </row>
    <row r="874" spans="2:10">
      <c r="B874" s="690"/>
      <c r="C874" s="690"/>
      <c r="D874" s="690"/>
      <c r="E874" s="690"/>
      <c r="F874" s="690"/>
      <c r="G874" s="690"/>
      <c r="H874" s="690"/>
      <c r="I874" s="690"/>
      <c r="J874" s="690"/>
    </row>
    <row r="875" spans="2:10" ht="30">
      <c r="B875" s="263" t="s">
        <v>1013</v>
      </c>
      <c r="C875" s="264" t="s">
        <v>1002</v>
      </c>
      <c r="D875" s="264" t="s">
        <v>1003</v>
      </c>
      <c r="E875" s="265" t="s">
        <v>1004</v>
      </c>
      <c r="F875" s="265" t="s">
        <v>1005</v>
      </c>
      <c r="G875" s="265" t="s">
        <v>1006</v>
      </c>
      <c r="H875" s="265" t="s">
        <v>1007</v>
      </c>
      <c r="I875" s="265" t="s">
        <v>1008</v>
      </c>
      <c r="J875" s="265" t="s">
        <v>1009</v>
      </c>
    </row>
    <row r="876" spans="2:10">
      <c r="B876" s="266"/>
      <c r="C876" s="267"/>
      <c r="D876" s="267"/>
      <c r="E876" s="268"/>
      <c r="F876" s="268"/>
      <c r="G876" s="268"/>
      <c r="H876" s="268"/>
      <c r="I876" s="268"/>
      <c r="J876" s="271"/>
    </row>
    <row r="877" spans="2:10">
      <c r="B877" s="266"/>
      <c r="C877" s="267"/>
      <c r="D877" s="267"/>
      <c r="E877" s="268"/>
      <c r="F877" s="268"/>
      <c r="G877" s="268"/>
      <c r="H877" s="268"/>
      <c r="I877" s="268"/>
      <c r="J877" s="271"/>
    </row>
    <row r="878" spans="2:10">
      <c r="B878" s="266"/>
      <c r="C878" s="267"/>
      <c r="D878" s="267"/>
      <c r="E878" s="268"/>
      <c r="F878" s="268"/>
      <c r="G878" s="268"/>
      <c r="H878" s="268"/>
      <c r="I878" s="268"/>
      <c r="J878" s="271"/>
    </row>
    <row r="879" spans="2:10">
      <c r="B879" s="266"/>
      <c r="C879" s="267"/>
      <c r="D879" s="267"/>
      <c r="E879" s="268"/>
      <c r="F879" s="268"/>
      <c r="G879" s="268"/>
      <c r="H879" s="268"/>
      <c r="I879" s="268"/>
      <c r="J879" s="271"/>
    </row>
    <row r="880" spans="2:10">
      <c r="B880" s="266"/>
      <c r="C880" s="266"/>
      <c r="D880" s="267"/>
      <c r="E880" s="267"/>
      <c r="F880" s="268"/>
      <c r="G880" s="268"/>
      <c r="H880" s="268"/>
      <c r="I880" s="268"/>
      <c r="J880" s="271"/>
    </row>
    <row r="881" spans="2:10">
      <c r="B881" s="686" t="s">
        <v>1011</v>
      </c>
      <c r="C881" s="687"/>
      <c r="D881" s="687"/>
      <c r="E881" s="687"/>
      <c r="F881" s="687"/>
      <c r="G881" s="687"/>
      <c r="H881" s="687"/>
      <c r="I881" s="688"/>
      <c r="J881" s="270">
        <f>ROUND(SUM(J876:J880),2)</f>
        <v>0</v>
      </c>
    </row>
    <row r="882" spans="2:10">
      <c r="B882" s="262"/>
      <c r="C882" s="262"/>
      <c r="D882" s="262"/>
      <c r="E882" s="262"/>
      <c r="F882" s="262"/>
      <c r="G882" s="262"/>
      <c r="H882" s="262"/>
      <c r="I882" s="262"/>
      <c r="J882" s="262"/>
    </row>
    <row r="883" spans="2:10">
      <c r="B883" s="691" t="s">
        <v>1014</v>
      </c>
      <c r="C883" s="691"/>
      <c r="D883" s="691"/>
      <c r="E883" s="691"/>
      <c r="F883" s="691"/>
      <c r="G883" s="691"/>
      <c r="H883" s="262"/>
      <c r="I883" s="262"/>
      <c r="J883" s="262"/>
    </row>
    <row r="884" spans="2:10">
      <c r="B884" s="692" t="s">
        <v>1015</v>
      </c>
      <c r="C884" s="693"/>
      <c r="D884" s="693"/>
      <c r="E884" s="694"/>
      <c r="F884" s="265" t="s">
        <v>1016</v>
      </c>
      <c r="G884" s="265" t="s">
        <v>1017</v>
      </c>
      <c r="H884" s="262"/>
      <c r="I884" s="262"/>
      <c r="J884" s="262"/>
    </row>
    <row r="885" spans="2:10">
      <c r="B885" s="678" t="s">
        <v>1018</v>
      </c>
      <c r="C885" s="679"/>
      <c r="D885" s="679"/>
      <c r="E885" s="680"/>
      <c r="F885" s="681">
        <f>$J$10</f>
        <v>0.91500000000000004</v>
      </c>
      <c r="G885" s="272">
        <f>J852</f>
        <v>750</v>
      </c>
      <c r="H885" s="262"/>
      <c r="I885" s="262"/>
      <c r="J885" s="262"/>
    </row>
    <row r="886" spans="2:10">
      <c r="B886" s="678" t="s">
        <v>1019</v>
      </c>
      <c r="C886" s="679"/>
      <c r="D886" s="679"/>
      <c r="E886" s="680"/>
      <c r="F886" s="695"/>
      <c r="G886" s="272">
        <f>J873</f>
        <v>4756.4799999999996</v>
      </c>
      <c r="H886" s="262"/>
      <c r="I886" s="262"/>
      <c r="J886" s="262"/>
    </row>
    <row r="887" spans="2:10">
      <c r="B887" s="678" t="s">
        <v>1020</v>
      </c>
      <c r="C887" s="679"/>
      <c r="D887" s="679"/>
      <c r="E887" s="680"/>
      <c r="F887" s="695"/>
      <c r="G887" s="272">
        <f>J881</f>
        <v>0</v>
      </c>
      <c r="H887" s="262"/>
      <c r="I887" s="262"/>
      <c r="J887" s="262"/>
    </row>
    <row r="888" spans="2:10">
      <c r="B888" s="678" t="s">
        <v>1021</v>
      </c>
      <c r="C888" s="679"/>
      <c r="D888" s="679"/>
      <c r="E888" s="680"/>
      <c r="F888" s="695"/>
      <c r="G888" s="272">
        <v>1</v>
      </c>
      <c r="H888" s="262"/>
      <c r="I888" s="262"/>
      <c r="J888" s="262"/>
    </row>
    <row r="889" spans="2:10">
      <c r="B889" s="678" t="s">
        <v>1022</v>
      </c>
      <c r="C889" s="679"/>
      <c r="D889" s="679"/>
      <c r="E889" s="680"/>
      <c r="F889" s="695"/>
      <c r="G889" s="272">
        <f>G885+G887</f>
        <v>750</v>
      </c>
      <c r="H889" s="262"/>
      <c r="I889" s="262"/>
      <c r="J889" s="262"/>
    </row>
    <row r="890" spans="2:10">
      <c r="B890" s="678" t="s">
        <v>1023</v>
      </c>
      <c r="C890" s="679"/>
      <c r="D890" s="679"/>
      <c r="E890" s="680"/>
      <c r="F890" s="695"/>
      <c r="G890" s="272">
        <f>G889/G888</f>
        <v>750</v>
      </c>
      <c r="H890" s="262"/>
      <c r="I890" s="262"/>
      <c r="J890" s="262"/>
    </row>
    <row r="891" spans="2:10">
      <c r="B891" s="678" t="s">
        <v>1024</v>
      </c>
      <c r="C891" s="679"/>
      <c r="D891" s="679"/>
      <c r="E891" s="680"/>
      <c r="F891" s="682"/>
      <c r="G891" s="272">
        <f>G886+G890</f>
        <v>5506.48</v>
      </c>
      <c r="H891" s="262"/>
      <c r="I891" s="262"/>
      <c r="J891" s="262"/>
    </row>
    <row r="892" spans="2:10">
      <c r="B892" s="678" t="s">
        <v>1025</v>
      </c>
      <c r="C892" s="679"/>
      <c r="D892" s="679"/>
      <c r="E892" s="680"/>
      <c r="F892" s="681">
        <f>$J$11</f>
        <v>0.14019999999999999</v>
      </c>
      <c r="G892" s="272">
        <f>G891*F892</f>
        <v>772.00849599999992</v>
      </c>
      <c r="H892" s="262"/>
      <c r="I892" s="262"/>
      <c r="J892" s="262"/>
    </row>
    <row r="893" spans="2:10">
      <c r="B893" s="683" t="s">
        <v>1026</v>
      </c>
      <c r="C893" s="684"/>
      <c r="D893" s="684"/>
      <c r="E893" s="685"/>
      <c r="F893" s="682"/>
      <c r="G893" s="273">
        <f>ROUND(SUM(G891+G892),2)</f>
        <v>6278.49</v>
      </c>
      <c r="H893" s="262"/>
      <c r="I893" s="262"/>
      <c r="J893" s="307"/>
    </row>
    <row r="894" spans="2:10" ht="15.75" thickBot="1"/>
    <row r="895" spans="2:10" ht="15.75" thickBot="1">
      <c r="B895" s="696" t="s">
        <v>990</v>
      </c>
      <c r="C895" s="697"/>
      <c r="D895" s="697"/>
      <c r="E895" s="697"/>
      <c r="F895" s="697"/>
      <c r="G895" s="697"/>
      <c r="H895" s="697"/>
      <c r="I895" s="697"/>
      <c r="J895" s="698"/>
    </row>
    <row r="896" spans="2:10">
      <c r="B896" s="699" t="s">
        <v>7</v>
      </c>
      <c r="C896" s="699"/>
      <c r="D896" s="699"/>
      <c r="E896" s="699"/>
      <c r="F896" s="699"/>
      <c r="G896" s="699"/>
      <c r="H896" s="699"/>
      <c r="I896" s="699"/>
      <c r="J896" s="699"/>
    </row>
    <row r="897" spans="2:10" ht="15.75" thickBot="1">
      <c r="B897" s="699" t="s">
        <v>8</v>
      </c>
      <c r="C897" s="699"/>
      <c r="D897" s="699"/>
      <c r="E897" s="699"/>
      <c r="F897" s="699"/>
      <c r="G897" s="699"/>
      <c r="H897" s="699"/>
      <c r="I897" s="699"/>
      <c r="J897" s="699"/>
    </row>
    <row r="898" spans="2:10">
      <c r="B898" s="700" t="s">
        <v>991</v>
      </c>
      <c r="C898" s="249" t="s">
        <v>992</v>
      </c>
      <c r="D898" s="250">
        <v>6</v>
      </c>
      <c r="E898" s="251" t="s">
        <v>993</v>
      </c>
      <c r="F898" s="252">
        <v>2017</v>
      </c>
      <c r="G898" s="253"/>
      <c r="H898" s="253"/>
      <c r="I898" s="251" t="s">
        <v>994</v>
      </c>
      <c r="J898" s="306" t="s">
        <v>794</v>
      </c>
    </row>
    <row r="899" spans="2:10">
      <c r="B899" s="701"/>
      <c r="C899" s="255" t="s">
        <v>995</v>
      </c>
      <c r="D899" s="703" t="s">
        <v>1134</v>
      </c>
      <c r="E899" s="704"/>
      <c r="F899" s="256"/>
      <c r="G899" s="256"/>
      <c r="H899" s="256"/>
      <c r="I899" s="256"/>
      <c r="J899" s="257"/>
    </row>
    <row r="900" spans="2:10" ht="15.75">
      <c r="B900" s="701"/>
      <c r="C900" s="255" t="s">
        <v>997</v>
      </c>
      <c r="D900" s="705" t="s">
        <v>1135</v>
      </c>
      <c r="E900" s="705"/>
      <c r="F900" s="705"/>
      <c r="G900" s="705"/>
      <c r="H900" s="705"/>
      <c r="I900" s="705"/>
      <c r="J900" s="706"/>
    </row>
    <row r="901" spans="2:10" ht="15.75" thickBot="1">
      <c r="B901" s="702"/>
      <c r="C901" s="258" t="s">
        <v>999</v>
      </c>
      <c r="D901" s="308" t="s">
        <v>801</v>
      </c>
      <c r="E901" s="260"/>
      <c r="F901" s="260"/>
      <c r="G901" s="260"/>
      <c r="H901" s="260"/>
      <c r="I901" s="260"/>
      <c r="J901" s="261"/>
    </row>
    <row r="902" spans="2:10">
      <c r="B902" s="262"/>
      <c r="C902" s="262"/>
      <c r="D902" s="262"/>
      <c r="E902" s="262"/>
      <c r="F902" s="262"/>
      <c r="G902" s="262"/>
      <c r="H902" s="262"/>
      <c r="I902" s="262"/>
      <c r="J902" s="262"/>
    </row>
    <row r="903" spans="2:10" ht="30">
      <c r="B903" s="263" t="s">
        <v>1001</v>
      </c>
      <c r="C903" s="264" t="s">
        <v>1002</v>
      </c>
      <c r="D903" s="264" t="s">
        <v>1003</v>
      </c>
      <c r="E903" s="265" t="s">
        <v>1004</v>
      </c>
      <c r="F903" s="265" t="s">
        <v>1005</v>
      </c>
      <c r="G903" s="265" t="s">
        <v>1006</v>
      </c>
      <c r="H903" s="265" t="s">
        <v>1007</v>
      </c>
      <c r="I903" s="265" t="s">
        <v>1008</v>
      </c>
      <c r="J903" s="265" t="s">
        <v>1009</v>
      </c>
    </row>
    <row r="904" spans="2:10">
      <c r="B904" s="295" t="s">
        <v>927</v>
      </c>
      <c r="C904" s="296" t="s">
        <v>897</v>
      </c>
      <c r="D904" s="267">
        <v>88247</v>
      </c>
      <c r="E904" s="268">
        <v>0.25</v>
      </c>
      <c r="F904" s="268"/>
      <c r="G904" s="302">
        <v>8.9295039164490859</v>
      </c>
      <c r="H904" s="268">
        <v>0</v>
      </c>
      <c r="I904" s="268">
        <f t="shared" ref="I904:I906" si="22">ROUND(G904*(1+$J$10),2)</f>
        <v>17.100000000000001</v>
      </c>
      <c r="J904" s="269">
        <f>I904*E904</f>
        <v>4.2750000000000004</v>
      </c>
    </row>
    <row r="905" spans="2:10">
      <c r="B905" s="295" t="s">
        <v>928</v>
      </c>
      <c r="C905" s="267" t="s">
        <v>897</v>
      </c>
      <c r="D905" s="267">
        <v>88264</v>
      </c>
      <c r="E905" s="268">
        <v>0.25</v>
      </c>
      <c r="F905" s="268"/>
      <c r="G905" s="302">
        <v>11.091383812010443</v>
      </c>
      <c r="H905" s="268">
        <v>0</v>
      </c>
      <c r="I905" s="268">
        <f t="shared" si="22"/>
        <v>21.24</v>
      </c>
      <c r="J905" s="269">
        <f>I905*E905</f>
        <v>5.31</v>
      </c>
    </row>
    <row r="906" spans="2:10">
      <c r="B906" s="266"/>
      <c r="C906" s="267"/>
      <c r="D906" s="267"/>
      <c r="E906" s="268"/>
      <c r="F906" s="268"/>
      <c r="G906" s="268"/>
      <c r="H906" s="268">
        <v>0</v>
      </c>
      <c r="I906" s="268">
        <f t="shared" si="22"/>
        <v>0</v>
      </c>
      <c r="J906" s="269">
        <f>I906*E906</f>
        <v>0</v>
      </c>
    </row>
    <row r="907" spans="2:10">
      <c r="B907" s="266"/>
      <c r="C907" s="267"/>
      <c r="D907" s="267"/>
      <c r="E907" s="268"/>
      <c r="F907" s="268"/>
      <c r="G907" s="268"/>
      <c r="H907" s="268"/>
      <c r="I907" s="268"/>
      <c r="J907" s="269"/>
    </row>
    <row r="908" spans="2:10">
      <c r="B908" s="266"/>
      <c r="C908" s="267"/>
      <c r="D908" s="267"/>
      <c r="E908" s="268"/>
      <c r="F908" s="268"/>
      <c r="G908" s="268"/>
      <c r="H908" s="268"/>
      <c r="I908" s="268"/>
      <c r="J908" s="269"/>
    </row>
    <row r="909" spans="2:10">
      <c r="B909" s="266"/>
      <c r="C909" s="266"/>
      <c r="D909" s="267"/>
      <c r="E909" s="267"/>
      <c r="F909" s="268"/>
      <c r="G909" s="268"/>
      <c r="H909" s="268"/>
      <c r="I909" s="268"/>
      <c r="J909" s="269"/>
    </row>
    <row r="910" spans="2:10">
      <c r="B910" s="686" t="s">
        <v>1011</v>
      </c>
      <c r="C910" s="687"/>
      <c r="D910" s="687"/>
      <c r="E910" s="687"/>
      <c r="F910" s="687"/>
      <c r="G910" s="687"/>
      <c r="H910" s="687"/>
      <c r="I910" s="688"/>
      <c r="J910" s="270">
        <f>ROUND(SUM(J904:J909),2)</f>
        <v>9.59</v>
      </c>
    </row>
    <row r="911" spans="2:10">
      <c r="B911" s="689"/>
      <c r="C911" s="689"/>
      <c r="D911" s="689"/>
      <c r="E911" s="689"/>
      <c r="F911" s="689"/>
      <c r="G911" s="689"/>
      <c r="H911" s="689"/>
      <c r="I911" s="689"/>
      <c r="J911" s="689"/>
    </row>
    <row r="912" spans="2:10" ht="30">
      <c r="B912" s="263" t="s">
        <v>1012</v>
      </c>
      <c r="C912" s="264" t="s">
        <v>1002</v>
      </c>
      <c r="D912" s="264" t="s">
        <v>1072</v>
      </c>
      <c r="E912" s="265" t="s">
        <v>1004</v>
      </c>
      <c r="F912" s="265" t="s">
        <v>1005</v>
      </c>
      <c r="G912" s="265" t="s">
        <v>1006</v>
      </c>
      <c r="H912" s="265" t="s">
        <v>1007</v>
      </c>
      <c r="I912" s="265" t="s">
        <v>1008</v>
      </c>
      <c r="J912" s="265" t="s">
        <v>1009</v>
      </c>
    </row>
    <row r="913" spans="2:10">
      <c r="B913" s="303" t="s">
        <v>1135</v>
      </c>
      <c r="C913" s="296" t="s">
        <v>698</v>
      </c>
      <c r="D913" s="267">
        <v>38104</v>
      </c>
      <c r="E913" s="268">
        <v>1</v>
      </c>
      <c r="F913" s="268">
        <v>1</v>
      </c>
      <c r="G913" s="309">
        <v>22.77</v>
      </c>
      <c r="H913" s="268">
        <v>0</v>
      </c>
      <c r="I913" s="268">
        <f>G913</f>
        <v>22.77</v>
      </c>
      <c r="J913" s="269">
        <f>I913*E913</f>
        <v>22.77</v>
      </c>
    </row>
    <row r="914" spans="2:10">
      <c r="B914" s="295"/>
      <c r="C914" s="296"/>
      <c r="D914" s="267"/>
      <c r="E914" s="268"/>
      <c r="F914" s="268"/>
      <c r="G914" s="268"/>
      <c r="H914" s="268">
        <v>0</v>
      </c>
      <c r="I914" s="268">
        <f>G914</f>
        <v>0</v>
      </c>
      <c r="J914" s="269">
        <f>I914*E914</f>
        <v>0</v>
      </c>
    </row>
    <row r="915" spans="2:10">
      <c r="B915" s="295"/>
      <c r="C915" s="296"/>
      <c r="D915" s="267"/>
      <c r="E915" s="268"/>
      <c r="F915" s="268"/>
      <c r="G915" s="268"/>
      <c r="H915" s="268"/>
      <c r="I915" s="268"/>
      <c r="J915" s="269"/>
    </row>
    <row r="916" spans="2:10">
      <c r="B916" s="295"/>
      <c r="C916" s="296"/>
      <c r="D916" s="296"/>
      <c r="E916" s="268"/>
      <c r="F916" s="268"/>
      <c r="G916" s="268"/>
      <c r="H916" s="268"/>
      <c r="I916" s="268"/>
      <c r="J916" s="269"/>
    </row>
    <row r="917" spans="2:10">
      <c r="B917" s="295"/>
      <c r="C917" s="266"/>
      <c r="D917" s="267"/>
      <c r="E917" s="267"/>
      <c r="F917" s="268"/>
      <c r="G917" s="268"/>
      <c r="H917" s="268"/>
      <c r="I917" s="268"/>
      <c r="J917" s="269"/>
    </row>
    <row r="918" spans="2:10">
      <c r="B918" s="266"/>
      <c r="C918" s="266"/>
      <c r="D918" s="267"/>
      <c r="E918" s="267"/>
      <c r="F918" s="268"/>
      <c r="G918" s="268"/>
      <c r="H918" s="268"/>
      <c r="I918" s="268"/>
      <c r="J918" s="269"/>
    </row>
    <row r="919" spans="2:10">
      <c r="B919" s="266"/>
      <c r="C919" s="266"/>
      <c r="D919" s="267"/>
      <c r="E919" s="267"/>
      <c r="F919" s="268"/>
      <c r="G919" s="268"/>
      <c r="H919" s="268"/>
      <c r="I919" s="268"/>
      <c r="J919" s="269"/>
    </row>
    <row r="920" spans="2:10">
      <c r="B920" s="266"/>
      <c r="C920" s="266"/>
      <c r="D920" s="267"/>
      <c r="E920" s="267"/>
      <c r="F920" s="268"/>
      <c r="G920" s="268"/>
      <c r="H920" s="268"/>
      <c r="I920" s="268"/>
      <c r="J920" s="269"/>
    </row>
    <row r="921" spans="2:10">
      <c r="B921" s="266"/>
      <c r="C921" s="266"/>
      <c r="D921" s="267"/>
      <c r="E921" s="267"/>
      <c r="F921" s="268"/>
      <c r="G921" s="268"/>
      <c r="H921" s="268"/>
      <c r="I921" s="268"/>
      <c r="J921" s="269"/>
    </row>
    <row r="922" spans="2:10">
      <c r="B922" s="266"/>
      <c r="C922" s="266"/>
      <c r="D922" s="267"/>
      <c r="E922" s="267"/>
      <c r="F922" s="268"/>
      <c r="G922" s="268"/>
      <c r="H922" s="268"/>
      <c r="I922" s="268"/>
      <c r="J922" s="269"/>
    </row>
    <row r="923" spans="2:10">
      <c r="B923" s="266"/>
      <c r="C923" s="266"/>
      <c r="D923" s="267"/>
      <c r="E923" s="267"/>
      <c r="F923" s="268"/>
      <c r="G923" s="268"/>
      <c r="H923" s="268"/>
      <c r="I923" s="268"/>
      <c r="J923" s="269"/>
    </row>
    <row r="924" spans="2:10">
      <c r="B924" s="266"/>
      <c r="C924" s="266"/>
      <c r="D924" s="267"/>
      <c r="E924" s="267"/>
      <c r="F924" s="268"/>
      <c r="G924" s="268"/>
      <c r="H924" s="268"/>
      <c r="I924" s="268"/>
      <c r="J924" s="269"/>
    </row>
    <row r="925" spans="2:10">
      <c r="B925" s="266"/>
      <c r="C925" s="266"/>
      <c r="D925" s="267"/>
      <c r="E925" s="267"/>
      <c r="F925" s="268"/>
      <c r="G925" s="268"/>
      <c r="H925" s="268"/>
      <c r="I925" s="268"/>
      <c r="J925" s="269"/>
    </row>
    <row r="926" spans="2:10">
      <c r="B926" s="266"/>
      <c r="C926" s="266"/>
      <c r="D926" s="267"/>
      <c r="E926" s="267"/>
      <c r="F926" s="268"/>
      <c r="G926" s="268"/>
      <c r="H926" s="268"/>
      <c r="I926" s="268"/>
      <c r="J926" s="269"/>
    </row>
    <row r="927" spans="2:10">
      <c r="B927" s="266"/>
      <c r="C927" s="266"/>
      <c r="D927" s="267"/>
      <c r="E927" s="267"/>
      <c r="F927" s="268"/>
      <c r="G927" s="268"/>
      <c r="H927" s="268"/>
      <c r="I927" s="268"/>
      <c r="J927" s="269"/>
    </row>
    <row r="928" spans="2:10">
      <c r="B928" s="266"/>
      <c r="C928" s="266"/>
      <c r="D928" s="267"/>
      <c r="E928" s="267"/>
      <c r="F928" s="268"/>
      <c r="G928" s="268"/>
      <c r="H928" s="268"/>
      <c r="I928" s="268"/>
      <c r="J928" s="269"/>
    </row>
    <row r="929" spans="2:10">
      <c r="B929" s="266"/>
      <c r="C929" s="266"/>
      <c r="D929" s="267"/>
      <c r="E929" s="267"/>
      <c r="F929" s="268"/>
      <c r="G929" s="268"/>
      <c r="H929" s="268"/>
      <c r="I929" s="268"/>
      <c r="J929" s="269"/>
    </row>
    <row r="930" spans="2:10">
      <c r="B930" s="266"/>
      <c r="C930" s="266"/>
      <c r="D930" s="267"/>
      <c r="E930" s="267"/>
      <c r="F930" s="268"/>
      <c r="G930" s="268"/>
      <c r="H930" s="268"/>
      <c r="I930" s="268"/>
      <c r="J930" s="269"/>
    </row>
    <row r="931" spans="2:10">
      <c r="B931" s="686" t="s">
        <v>1011</v>
      </c>
      <c r="C931" s="687"/>
      <c r="D931" s="687"/>
      <c r="E931" s="687"/>
      <c r="F931" s="687"/>
      <c r="G931" s="687"/>
      <c r="H931" s="687"/>
      <c r="I931" s="688"/>
      <c r="J931" s="270">
        <f>ROUND(SUM(J913:J930),2)</f>
        <v>22.77</v>
      </c>
    </row>
    <row r="932" spans="2:10">
      <c r="B932" s="690"/>
      <c r="C932" s="690"/>
      <c r="D932" s="690"/>
      <c r="E932" s="690"/>
      <c r="F932" s="690"/>
      <c r="G932" s="690"/>
      <c r="H932" s="690"/>
      <c r="I932" s="690"/>
      <c r="J932" s="690"/>
    </row>
    <row r="933" spans="2:10" ht="30">
      <c r="B933" s="263" t="s">
        <v>1013</v>
      </c>
      <c r="C933" s="264" t="s">
        <v>1002</v>
      </c>
      <c r="D933" s="264" t="s">
        <v>1003</v>
      </c>
      <c r="E933" s="265" t="s">
        <v>1004</v>
      </c>
      <c r="F933" s="265" t="s">
        <v>1005</v>
      </c>
      <c r="G933" s="265" t="s">
        <v>1006</v>
      </c>
      <c r="H933" s="265" t="s">
        <v>1007</v>
      </c>
      <c r="I933" s="265" t="s">
        <v>1008</v>
      </c>
      <c r="J933" s="265" t="s">
        <v>1009</v>
      </c>
    </row>
    <row r="934" spans="2:10">
      <c r="B934" s="266"/>
      <c r="C934" s="267"/>
      <c r="D934" s="267"/>
      <c r="E934" s="268"/>
      <c r="F934" s="268"/>
      <c r="G934" s="268"/>
      <c r="H934" s="268"/>
      <c r="I934" s="268"/>
      <c r="J934" s="271"/>
    </row>
    <row r="935" spans="2:10">
      <c r="B935" s="266"/>
      <c r="C935" s="267"/>
      <c r="D935" s="267"/>
      <c r="E935" s="268"/>
      <c r="F935" s="268"/>
      <c r="G935" s="268"/>
      <c r="H935" s="268"/>
      <c r="I935" s="268"/>
      <c r="J935" s="271"/>
    </row>
    <row r="936" spans="2:10">
      <c r="B936" s="266"/>
      <c r="C936" s="267"/>
      <c r="D936" s="267"/>
      <c r="E936" s="268"/>
      <c r="F936" s="268"/>
      <c r="G936" s="268"/>
      <c r="H936" s="268"/>
      <c r="I936" s="268"/>
      <c r="J936" s="271"/>
    </row>
    <row r="937" spans="2:10">
      <c r="B937" s="266"/>
      <c r="C937" s="267"/>
      <c r="D937" s="267"/>
      <c r="E937" s="268"/>
      <c r="F937" s="268"/>
      <c r="G937" s="268"/>
      <c r="H937" s="268"/>
      <c r="I937" s="268"/>
      <c r="J937" s="271"/>
    </row>
    <row r="938" spans="2:10">
      <c r="B938" s="266"/>
      <c r="C938" s="266"/>
      <c r="D938" s="267"/>
      <c r="E938" s="267"/>
      <c r="F938" s="268"/>
      <c r="G938" s="268"/>
      <c r="H938" s="268"/>
      <c r="I938" s="268"/>
      <c r="J938" s="271"/>
    </row>
    <row r="939" spans="2:10">
      <c r="B939" s="686" t="s">
        <v>1011</v>
      </c>
      <c r="C939" s="687"/>
      <c r="D939" s="687"/>
      <c r="E939" s="687"/>
      <c r="F939" s="687"/>
      <c r="G939" s="687"/>
      <c r="H939" s="687"/>
      <c r="I939" s="688"/>
      <c r="J939" s="270">
        <f>ROUND(SUM(J934:J938),2)</f>
        <v>0</v>
      </c>
    </row>
    <row r="940" spans="2:10">
      <c r="B940" s="262"/>
      <c r="C940" s="262"/>
      <c r="D940" s="262"/>
      <c r="E940" s="262"/>
      <c r="F940" s="262"/>
      <c r="G940" s="262"/>
      <c r="H940" s="262"/>
      <c r="I940" s="262"/>
      <c r="J940" s="262"/>
    </row>
    <row r="941" spans="2:10">
      <c r="B941" s="691" t="s">
        <v>1014</v>
      </c>
      <c r="C941" s="691"/>
      <c r="D941" s="691"/>
      <c r="E941" s="691"/>
      <c r="F941" s="691"/>
      <c r="G941" s="691"/>
      <c r="H941" s="262"/>
      <c r="I941" s="262"/>
      <c r="J941" s="262"/>
    </row>
    <row r="942" spans="2:10">
      <c r="B942" s="692" t="s">
        <v>1015</v>
      </c>
      <c r="C942" s="693"/>
      <c r="D942" s="693"/>
      <c r="E942" s="694"/>
      <c r="F942" s="265" t="s">
        <v>1016</v>
      </c>
      <c r="G942" s="265" t="s">
        <v>1017</v>
      </c>
      <c r="H942" s="262"/>
      <c r="I942" s="262"/>
      <c r="J942" s="262"/>
    </row>
    <row r="943" spans="2:10">
      <c r="B943" s="678" t="s">
        <v>1018</v>
      </c>
      <c r="C943" s="679"/>
      <c r="D943" s="679"/>
      <c r="E943" s="680"/>
      <c r="F943" s="681">
        <f>$J$10</f>
        <v>0.91500000000000004</v>
      </c>
      <c r="G943" s="272">
        <f>J910</f>
        <v>9.59</v>
      </c>
      <c r="H943" s="262"/>
      <c r="I943" s="262"/>
      <c r="J943" s="262"/>
    </row>
    <row r="944" spans="2:10">
      <c r="B944" s="678" t="s">
        <v>1019</v>
      </c>
      <c r="C944" s="679"/>
      <c r="D944" s="679"/>
      <c r="E944" s="680"/>
      <c r="F944" s="695"/>
      <c r="G944" s="272">
        <f>J931</f>
        <v>22.77</v>
      </c>
      <c r="H944" s="262"/>
      <c r="I944" s="262"/>
      <c r="J944" s="262"/>
    </row>
    <row r="945" spans="2:10">
      <c r="B945" s="678" t="s">
        <v>1020</v>
      </c>
      <c r="C945" s="679"/>
      <c r="D945" s="679"/>
      <c r="E945" s="680"/>
      <c r="F945" s="695"/>
      <c r="G945" s="272">
        <f>J939</f>
        <v>0</v>
      </c>
      <c r="H945" s="262"/>
      <c r="I945" s="262"/>
      <c r="J945" s="262"/>
    </row>
    <row r="946" spans="2:10">
      <c r="B946" s="678" t="s">
        <v>1021</v>
      </c>
      <c r="C946" s="679"/>
      <c r="D946" s="679"/>
      <c r="E946" s="680"/>
      <c r="F946" s="695"/>
      <c r="G946" s="272">
        <v>1</v>
      </c>
      <c r="H946" s="262"/>
      <c r="I946" s="262"/>
      <c r="J946" s="262"/>
    </row>
    <row r="947" spans="2:10">
      <c r="B947" s="678" t="s">
        <v>1022</v>
      </c>
      <c r="C947" s="679"/>
      <c r="D947" s="679"/>
      <c r="E947" s="680"/>
      <c r="F947" s="695"/>
      <c r="G947" s="272">
        <f>G943+G945</f>
        <v>9.59</v>
      </c>
      <c r="H947" s="262"/>
      <c r="I947" s="262"/>
      <c r="J947" s="262"/>
    </row>
    <row r="948" spans="2:10">
      <c r="B948" s="678" t="s">
        <v>1023</v>
      </c>
      <c r="C948" s="679"/>
      <c r="D948" s="679"/>
      <c r="E948" s="680"/>
      <c r="F948" s="695"/>
      <c r="G948" s="272">
        <f>G947/G946</f>
        <v>9.59</v>
      </c>
      <c r="H948" s="262"/>
      <c r="I948" s="262"/>
      <c r="J948" s="262"/>
    </row>
    <row r="949" spans="2:10">
      <c r="B949" s="678" t="s">
        <v>1024</v>
      </c>
      <c r="C949" s="679"/>
      <c r="D949" s="679"/>
      <c r="E949" s="680"/>
      <c r="F949" s="682"/>
      <c r="G949" s="272">
        <f>G944+G948</f>
        <v>32.36</v>
      </c>
      <c r="H949" s="262"/>
      <c r="I949" s="262"/>
      <c r="J949" s="262"/>
    </row>
    <row r="950" spans="2:10">
      <c r="B950" s="678" t="s">
        <v>1025</v>
      </c>
      <c r="C950" s="679"/>
      <c r="D950" s="679"/>
      <c r="E950" s="680"/>
      <c r="F950" s="681">
        <f>$I$11</f>
        <v>0.28220000000000001</v>
      </c>
      <c r="G950" s="272">
        <f>G949*F950</f>
        <v>9.1319920000000003</v>
      </c>
      <c r="H950" s="262"/>
      <c r="I950" s="262"/>
      <c r="J950" s="262"/>
    </row>
    <row r="951" spans="2:10">
      <c r="B951" s="683" t="s">
        <v>1026</v>
      </c>
      <c r="C951" s="684"/>
      <c r="D951" s="684"/>
      <c r="E951" s="685"/>
      <c r="F951" s="682"/>
      <c r="G951" s="273">
        <f>ROUND(SUM(G949+G950),2)</f>
        <v>41.49</v>
      </c>
      <c r="H951" s="262"/>
      <c r="I951" s="262"/>
      <c r="J951" s="307"/>
    </row>
    <row r="952" spans="2:10" ht="15.75" thickBot="1"/>
    <row r="953" spans="2:10" ht="15.75" thickBot="1">
      <c r="B953" s="696" t="s">
        <v>990</v>
      </c>
      <c r="C953" s="697"/>
      <c r="D953" s="697"/>
      <c r="E953" s="697"/>
      <c r="F953" s="697"/>
      <c r="G953" s="697"/>
      <c r="H953" s="697"/>
      <c r="I953" s="697"/>
      <c r="J953" s="698"/>
    </row>
    <row r="954" spans="2:10">
      <c r="B954" s="699" t="s">
        <v>7</v>
      </c>
      <c r="C954" s="699"/>
      <c r="D954" s="699"/>
      <c r="E954" s="699"/>
      <c r="F954" s="699"/>
      <c r="G954" s="699"/>
      <c r="H954" s="699"/>
      <c r="I954" s="699"/>
      <c r="J954" s="699"/>
    </row>
    <row r="955" spans="2:10" ht="15.75" thickBot="1">
      <c r="B955" s="699" t="s">
        <v>8</v>
      </c>
      <c r="C955" s="699"/>
      <c r="D955" s="699"/>
      <c r="E955" s="699"/>
      <c r="F955" s="699"/>
      <c r="G955" s="699"/>
      <c r="H955" s="699"/>
      <c r="I955" s="699"/>
      <c r="J955" s="699"/>
    </row>
    <row r="956" spans="2:10">
      <c r="B956" s="700" t="s">
        <v>991</v>
      </c>
      <c r="C956" s="249" t="s">
        <v>992</v>
      </c>
      <c r="D956" s="250">
        <v>6</v>
      </c>
      <c r="E956" s="251" t="s">
        <v>993</v>
      </c>
      <c r="F956" s="252">
        <v>2017</v>
      </c>
      <c r="G956" s="253"/>
      <c r="H956" s="253"/>
      <c r="I956" s="251" t="s">
        <v>994</v>
      </c>
      <c r="J956" s="306" t="s">
        <v>1139</v>
      </c>
    </row>
    <row r="957" spans="2:10">
      <c r="B957" s="701"/>
      <c r="C957" s="255" t="s">
        <v>995</v>
      </c>
      <c r="D957" s="703" t="s">
        <v>1137</v>
      </c>
      <c r="E957" s="704"/>
      <c r="F957" s="256"/>
      <c r="G957" s="256"/>
      <c r="H957" s="256"/>
      <c r="I957" s="256"/>
      <c r="J957" s="257"/>
    </row>
    <row r="958" spans="2:10" ht="15.75">
      <c r="B958" s="701"/>
      <c r="C958" s="255" t="s">
        <v>997</v>
      </c>
      <c r="D958" s="705" t="s">
        <v>1140</v>
      </c>
      <c r="E958" s="705"/>
      <c r="F958" s="705"/>
      <c r="G958" s="705"/>
      <c r="H958" s="705"/>
      <c r="I958" s="705"/>
      <c r="J958" s="706"/>
    </row>
    <row r="959" spans="2:10" ht="15.75" thickBot="1">
      <c r="B959" s="702"/>
      <c r="C959" s="258" t="s">
        <v>999</v>
      </c>
      <c r="D959" s="308" t="s">
        <v>801</v>
      </c>
      <c r="E959" s="260"/>
      <c r="F959" s="260"/>
      <c r="G959" s="260"/>
      <c r="H959" s="260"/>
      <c r="I959" s="260"/>
      <c r="J959" s="261"/>
    </row>
    <row r="960" spans="2:10">
      <c r="B960" s="262"/>
      <c r="C960" s="262"/>
      <c r="D960" s="262"/>
      <c r="E960" s="262"/>
      <c r="F960" s="262"/>
      <c r="G960" s="262"/>
      <c r="H960" s="262"/>
      <c r="I960" s="262"/>
      <c r="J960" s="262"/>
    </row>
    <row r="961" spans="2:10" ht="30">
      <c r="B961" s="263" t="s">
        <v>1001</v>
      </c>
      <c r="C961" s="264" t="s">
        <v>1002</v>
      </c>
      <c r="D961" s="264" t="s">
        <v>1003</v>
      </c>
      <c r="E961" s="265" t="s">
        <v>1004</v>
      </c>
      <c r="F961" s="265" t="s">
        <v>1005</v>
      </c>
      <c r="G961" s="265" t="s">
        <v>1006</v>
      </c>
      <c r="H961" s="265" t="s">
        <v>1007</v>
      </c>
      <c r="I961" s="265" t="s">
        <v>1008</v>
      </c>
      <c r="J961" s="265" t="s">
        <v>1009</v>
      </c>
    </row>
    <row r="962" spans="2:10">
      <c r="B962" s="295" t="s">
        <v>927</v>
      </c>
      <c r="C962" s="296" t="s">
        <v>897</v>
      </c>
      <c r="D962" s="267">
        <v>88247</v>
      </c>
      <c r="E962" s="268">
        <v>0.25</v>
      </c>
      <c r="F962" s="268"/>
      <c r="G962" s="302">
        <v>8.9295039164490859</v>
      </c>
      <c r="H962" s="268">
        <v>0</v>
      </c>
      <c r="I962" s="268">
        <f t="shared" ref="I962:I964" si="23">ROUND(G962*(1+$J$10),2)</f>
        <v>17.100000000000001</v>
      </c>
      <c r="J962" s="269">
        <f>I962*E962</f>
        <v>4.2750000000000004</v>
      </c>
    </row>
    <row r="963" spans="2:10">
      <c r="B963" s="295" t="s">
        <v>928</v>
      </c>
      <c r="C963" s="267" t="s">
        <v>897</v>
      </c>
      <c r="D963" s="267">
        <v>88264</v>
      </c>
      <c r="E963" s="268">
        <v>0.25</v>
      </c>
      <c r="F963" s="268"/>
      <c r="G963" s="302">
        <v>11.091383812010443</v>
      </c>
      <c r="H963" s="268">
        <v>0</v>
      </c>
      <c r="I963" s="268">
        <f t="shared" si="23"/>
        <v>21.24</v>
      </c>
      <c r="J963" s="269">
        <f>I963*E963</f>
        <v>5.31</v>
      </c>
    </row>
    <row r="964" spans="2:10">
      <c r="B964" s="266"/>
      <c r="C964" s="267"/>
      <c r="D964" s="267"/>
      <c r="E964" s="268"/>
      <c r="F964" s="268"/>
      <c r="G964" s="268"/>
      <c r="H964" s="268">
        <v>0</v>
      </c>
      <c r="I964" s="268">
        <f t="shared" si="23"/>
        <v>0</v>
      </c>
      <c r="J964" s="269">
        <f>I964*E964</f>
        <v>0</v>
      </c>
    </row>
    <row r="965" spans="2:10">
      <c r="B965" s="266"/>
      <c r="C965" s="267"/>
      <c r="D965" s="267"/>
      <c r="E965" s="268"/>
      <c r="F965" s="268"/>
      <c r="G965" s="268"/>
      <c r="H965" s="268"/>
      <c r="I965" s="268"/>
      <c r="J965" s="269"/>
    </row>
    <row r="966" spans="2:10">
      <c r="B966" s="266"/>
      <c r="C966" s="267"/>
      <c r="D966" s="267"/>
      <c r="E966" s="268"/>
      <c r="F966" s="268"/>
      <c r="G966" s="268"/>
      <c r="H966" s="268"/>
      <c r="I966" s="268"/>
      <c r="J966" s="269"/>
    </row>
    <row r="967" spans="2:10">
      <c r="B967" s="266"/>
      <c r="C967" s="266"/>
      <c r="D967" s="267"/>
      <c r="E967" s="267"/>
      <c r="F967" s="268"/>
      <c r="G967" s="268"/>
      <c r="H967" s="268"/>
      <c r="I967" s="268"/>
      <c r="J967" s="269"/>
    </row>
    <row r="968" spans="2:10">
      <c r="B968" s="686" t="s">
        <v>1011</v>
      </c>
      <c r="C968" s="687"/>
      <c r="D968" s="687"/>
      <c r="E968" s="687"/>
      <c r="F968" s="687"/>
      <c r="G968" s="687"/>
      <c r="H968" s="687"/>
      <c r="I968" s="688"/>
      <c r="J968" s="270">
        <f>ROUND(SUM(J962:J967),2)</f>
        <v>9.59</v>
      </c>
    </row>
    <row r="969" spans="2:10">
      <c r="B969" s="689"/>
      <c r="C969" s="689"/>
      <c r="D969" s="689"/>
      <c r="E969" s="689"/>
      <c r="F969" s="689"/>
      <c r="G969" s="689"/>
      <c r="H969" s="689"/>
      <c r="I969" s="689"/>
      <c r="J969" s="689"/>
    </row>
    <row r="970" spans="2:10" ht="30">
      <c r="B970" s="263" t="s">
        <v>1012</v>
      </c>
      <c r="C970" s="264" t="s">
        <v>1002</v>
      </c>
      <c r="D970" s="264" t="s">
        <v>1072</v>
      </c>
      <c r="E970" s="265" t="s">
        <v>1004</v>
      </c>
      <c r="F970" s="265" t="s">
        <v>1005</v>
      </c>
      <c r="G970" s="265" t="s">
        <v>1006</v>
      </c>
      <c r="H970" s="265" t="s">
        <v>1007</v>
      </c>
      <c r="I970" s="265" t="s">
        <v>1008</v>
      </c>
      <c r="J970" s="265" t="s">
        <v>1009</v>
      </c>
    </row>
    <row r="971" spans="2:10">
      <c r="B971" s="303" t="s">
        <v>1140</v>
      </c>
      <c r="C971" s="296" t="s">
        <v>698</v>
      </c>
      <c r="D971" s="267"/>
      <c r="E971" s="268">
        <v>1</v>
      </c>
      <c r="F971" s="268">
        <v>1</v>
      </c>
      <c r="G971" s="309">
        <v>4.54</v>
      </c>
      <c r="H971" s="268">
        <v>0</v>
      </c>
      <c r="I971" s="268">
        <f>G971</f>
        <v>4.54</v>
      </c>
      <c r="J971" s="269">
        <f>I971*E971</f>
        <v>4.54</v>
      </c>
    </row>
    <row r="972" spans="2:10">
      <c r="B972" s="295"/>
      <c r="C972" s="296"/>
      <c r="D972" s="267"/>
      <c r="E972" s="268"/>
      <c r="F972" s="268"/>
      <c r="G972" s="268"/>
      <c r="H972" s="268">
        <v>0</v>
      </c>
      <c r="I972" s="268">
        <f>G972</f>
        <v>0</v>
      </c>
      <c r="J972" s="269">
        <f>I972*E972</f>
        <v>0</v>
      </c>
    </row>
    <row r="973" spans="2:10">
      <c r="B973" s="295"/>
      <c r="C973" s="296"/>
      <c r="D973" s="267"/>
      <c r="E973" s="268"/>
      <c r="F973" s="268"/>
      <c r="G973" s="268"/>
      <c r="H973" s="268"/>
      <c r="I973" s="268"/>
      <c r="J973" s="269"/>
    </row>
    <row r="974" spans="2:10">
      <c r="B974" s="295"/>
      <c r="C974" s="296"/>
      <c r="D974" s="296"/>
      <c r="E974" s="268"/>
      <c r="F974" s="268"/>
      <c r="G974" s="268"/>
      <c r="H974" s="268"/>
      <c r="I974" s="268"/>
      <c r="J974" s="269"/>
    </row>
    <row r="975" spans="2:10">
      <c r="B975" s="295"/>
      <c r="C975" s="266"/>
      <c r="D975" s="267"/>
      <c r="E975" s="267"/>
      <c r="F975" s="268"/>
      <c r="G975" s="268"/>
      <c r="H975" s="268"/>
      <c r="I975" s="268"/>
      <c r="J975" s="269"/>
    </row>
    <row r="976" spans="2:10">
      <c r="B976" s="266"/>
      <c r="C976" s="266"/>
      <c r="D976" s="267"/>
      <c r="E976" s="267"/>
      <c r="F976" s="268"/>
      <c r="G976" s="268"/>
      <c r="H976" s="268"/>
      <c r="I976" s="268"/>
      <c r="J976" s="269"/>
    </row>
    <row r="977" spans="2:10">
      <c r="B977" s="266"/>
      <c r="C977" s="266"/>
      <c r="D977" s="267"/>
      <c r="E977" s="267"/>
      <c r="F977" s="268"/>
      <c r="G977" s="268"/>
      <c r="H977" s="268"/>
      <c r="I977" s="268"/>
      <c r="J977" s="269"/>
    </row>
    <row r="978" spans="2:10">
      <c r="B978" s="266"/>
      <c r="C978" s="266"/>
      <c r="D978" s="267"/>
      <c r="E978" s="267"/>
      <c r="F978" s="268"/>
      <c r="G978" s="268"/>
      <c r="H978" s="268"/>
      <c r="I978" s="268"/>
      <c r="J978" s="269"/>
    </row>
    <row r="979" spans="2:10">
      <c r="B979" s="266"/>
      <c r="C979" s="266"/>
      <c r="D979" s="267"/>
      <c r="E979" s="267"/>
      <c r="F979" s="268"/>
      <c r="G979" s="268"/>
      <c r="H979" s="268"/>
      <c r="I979" s="268"/>
      <c r="J979" s="269"/>
    </row>
    <row r="980" spans="2:10">
      <c r="B980" s="266"/>
      <c r="C980" s="266"/>
      <c r="D980" s="267"/>
      <c r="E980" s="267"/>
      <c r="F980" s="268"/>
      <c r="G980" s="268"/>
      <c r="H980" s="268"/>
      <c r="I980" s="268"/>
      <c r="J980" s="269"/>
    </row>
    <row r="981" spans="2:10">
      <c r="B981" s="266"/>
      <c r="C981" s="266"/>
      <c r="D981" s="267"/>
      <c r="E981" s="267"/>
      <c r="F981" s="268"/>
      <c r="G981" s="268"/>
      <c r="H981" s="268"/>
      <c r="I981" s="268"/>
      <c r="J981" s="269"/>
    </row>
    <row r="982" spans="2:10">
      <c r="B982" s="266"/>
      <c r="C982" s="266"/>
      <c r="D982" s="267"/>
      <c r="E982" s="267"/>
      <c r="F982" s="268"/>
      <c r="G982" s="268"/>
      <c r="H982" s="268"/>
      <c r="I982" s="268"/>
      <c r="J982" s="269"/>
    </row>
    <row r="983" spans="2:10">
      <c r="B983" s="266"/>
      <c r="C983" s="266"/>
      <c r="D983" s="267"/>
      <c r="E983" s="267"/>
      <c r="F983" s="268"/>
      <c r="G983" s="268"/>
      <c r="H983" s="268"/>
      <c r="I983" s="268"/>
      <c r="J983" s="269"/>
    </row>
    <row r="984" spans="2:10">
      <c r="B984" s="266"/>
      <c r="C984" s="266"/>
      <c r="D984" s="267"/>
      <c r="E984" s="267"/>
      <c r="F984" s="268"/>
      <c r="G984" s="268"/>
      <c r="H984" s="268"/>
      <c r="I984" s="268"/>
      <c r="J984" s="269"/>
    </row>
    <row r="985" spans="2:10">
      <c r="B985" s="266"/>
      <c r="C985" s="266"/>
      <c r="D985" s="267"/>
      <c r="E985" s="267"/>
      <c r="F985" s="268"/>
      <c r="G985" s="268"/>
      <c r="H985" s="268"/>
      <c r="I985" s="268"/>
      <c r="J985" s="269"/>
    </row>
    <row r="986" spans="2:10">
      <c r="B986" s="266"/>
      <c r="C986" s="266"/>
      <c r="D986" s="267"/>
      <c r="E986" s="267"/>
      <c r="F986" s="268"/>
      <c r="G986" s="268"/>
      <c r="H986" s="268"/>
      <c r="I986" s="268"/>
      <c r="J986" s="269"/>
    </row>
    <row r="987" spans="2:10">
      <c r="B987" s="266"/>
      <c r="C987" s="266"/>
      <c r="D987" s="267"/>
      <c r="E987" s="267"/>
      <c r="F987" s="268"/>
      <c r="G987" s="268"/>
      <c r="H987" s="268"/>
      <c r="I987" s="268"/>
      <c r="J987" s="269"/>
    </row>
    <row r="988" spans="2:10">
      <c r="B988" s="266"/>
      <c r="C988" s="266"/>
      <c r="D988" s="267"/>
      <c r="E988" s="267"/>
      <c r="F988" s="268"/>
      <c r="G988" s="268"/>
      <c r="H988" s="268"/>
      <c r="I988" s="268"/>
      <c r="J988" s="269"/>
    </row>
    <row r="989" spans="2:10">
      <c r="B989" s="686" t="s">
        <v>1011</v>
      </c>
      <c r="C989" s="687"/>
      <c r="D989" s="687"/>
      <c r="E989" s="687"/>
      <c r="F989" s="687"/>
      <c r="G989" s="687"/>
      <c r="H989" s="687"/>
      <c r="I989" s="688"/>
      <c r="J989" s="270">
        <f>ROUND(SUM(J971:J988),2)</f>
        <v>4.54</v>
      </c>
    </row>
    <row r="990" spans="2:10">
      <c r="B990" s="690"/>
      <c r="C990" s="690"/>
      <c r="D990" s="690"/>
      <c r="E990" s="690"/>
      <c r="F990" s="690"/>
      <c r="G990" s="690"/>
      <c r="H990" s="690"/>
      <c r="I990" s="690"/>
      <c r="J990" s="690"/>
    </row>
    <row r="991" spans="2:10" ht="30">
      <c r="B991" s="263" t="s">
        <v>1013</v>
      </c>
      <c r="C991" s="264" t="s">
        <v>1002</v>
      </c>
      <c r="D991" s="264" t="s">
        <v>1003</v>
      </c>
      <c r="E991" s="265" t="s">
        <v>1004</v>
      </c>
      <c r="F991" s="265" t="s">
        <v>1005</v>
      </c>
      <c r="G991" s="265" t="s">
        <v>1006</v>
      </c>
      <c r="H991" s="265" t="s">
        <v>1007</v>
      </c>
      <c r="I991" s="265" t="s">
        <v>1008</v>
      </c>
      <c r="J991" s="265" t="s">
        <v>1009</v>
      </c>
    </row>
    <row r="992" spans="2:10">
      <c r="B992" s="266"/>
      <c r="C992" s="267"/>
      <c r="D992" s="267"/>
      <c r="E992" s="268"/>
      <c r="F992" s="268"/>
      <c r="G992" s="268"/>
      <c r="H992" s="268"/>
      <c r="I992" s="268"/>
      <c r="J992" s="271"/>
    </row>
    <row r="993" spans="2:10">
      <c r="B993" s="266"/>
      <c r="C993" s="267"/>
      <c r="D993" s="267"/>
      <c r="E993" s="268"/>
      <c r="F993" s="268"/>
      <c r="G993" s="268"/>
      <c r="H993" s="268"/>
      <c r="I993" s="268"/>
      <c r="J993" s="271"/>
    </row>
    <row r="994" spans="2:10">
      <c r="B994" s="266"/>
      <c r="C994" s="267"/>
      <c r="D994" s="267"/>
      <c r="E994" s="268"/>
      <c r="F994" s="268"/>
      <c r="G994" s="268"/>
      <c r="H994" s="268"/>
      <c r="I994" s="268"/>
      <c r="J994" s="271"/>
    </row>
    <row r="995" spans="2:10">
      <c r="B995" s="266"/>
      <c r="C995" s="267"/>
      <c r="D995" s="267"/>
      <c r="E995" s="268"/>
      <c r="F995" s="268"/>
      <c r="G995" s="268"/>
      <c r="H995" s="268"/>
      <c r="I995" s="268"/>
      <c r="J995" s="271"/>
    </row>
    <row r="996" spans="2:10">
      <c r="B996" s="266"/>
      <c r="C996" s="266"/>
      <c r="D996" s="267"/>
      <c r="E996" s="267"/>
      <c r="F996" s="268"/>
      <c r="G996" s="268"/>
      <c r="H996" s="268"/>
      <c r="I996" s="268"/>
      <c r="J996" s="271"/>
    </row>
    <row r="997" spans="2:10">
      <c r="B997" s="686" t="s">
        <v>1011</v>
      </c>
      <c r="C997" s="687"/>
      <c r="D997" s="687"/>
      <c r="E997" s="687"/>
      <c r="F997" s="687"/>
      <c r="G997" s="687"/>
      <c r="H997" s="687"/>
      <c r="I997" s="688"/>
      <c r="J997" s="270">
        <f>ROUND(SUM(J992:J996),2)</f>
        <v>0</v>
      </c>
    </row>
    <row r="998" spans="2:10">
      <c r="B998" s="262"/>
      <c r="C998" s="262"/>
      <c r="D998" s="262"/>
      <c r="E998" s="262"/>
      <c r="F998" s="262"/>
      <c r="G998" s="262"/>
      <c r="H998" s="262"/>
      <c r="I998" s="262"/>
      <c r="J998" s="262"/>
    </row>
    <row r="999" spans="2:10">
      <c r="B999" s="691" t="s">
        <v>1014</v>
      </c>
      <c r="C999" s="691"/>
      <c r="D999" s="691"/>
      <c r="E999" s="691"/>
      <c r="F999" s="691"/>
      <c r="G999" s="691"/>
      <c r="H999" s="262"/>
      <c r="I999" s="262"/>
      <c r="J999" s="262"/>
    </row>
    <row r="1000" spans="2:10">
      <c r="B1000" s="692" t="s">
        <v>1015</v>
      </c>
      <c r="C1000" s="693"/>
      <c r="D1000" s="693"/>
      <c r="E1000" s="694"/>
      <c r="F1000" s="265" t="s">
        <v>1016</v>
      </c>
      <c r="G1000" s="265" t="s">
        <v>1017</v>
      </c>
      <c r="H1000" s="262"/>
      <c r="I1000" s="262"/>
      <c r="J1000" s="262"/>
    </row>
    <row r="1001" spans="2:10">
      <c r="B1001" s="678" t="s">
        <v>1018</v>
      </c>
      <c r="C1001" s="679"/>
      <c r="D1001" s="679"/>
      <c r="E1001" s="680"/>
      <c r="F1001" s="681">
        <f>$J$10</f>
        <v>0.91500000000000004</v>
      </c>
      <c r="G1001" s="272">
        <f>J968</f>
        <v>9.59</v>
      </c>
      <c r="H1001" s="262"/>
      <c r="I1001" s="262"/>
      <c r="J1001" s="262"/>
    </row>
    <row r="1002" spans="2:10">
      <c r="B1002" s="678" t="s">
        <v>1019</v>
      </c>
      <c r="C1002" s="679"/>
      <c r="D1002" s="679"/>
      <c r="E1002" s="680"/>
      <c r="F1002" s="695"/>
      <c r="G1002" s="272">
        <f>J989</f>
        <v>4.54</v>
      </c>
      <c r="H1002" s="262"/>
      <c r="I1002" s="262"/>
      <c r="J1002" s="262"/>
    </row>
    <row r="1003" spans="2:10">
      <c r="B1003" s="678" t="s">
        <v>1020</v>
      </c>
      <c r="C1003" s="679"/>
      <c r="D1003" s="679"/>
      <c r="E1003" s="680"/>
      <c r="F1003" s="695"/>
      <c r="G1003" s="272">
        <f>J997</f>
        <v>0</v>
      </c>
      <c r="H1003" s="262"/>
      <c r="I1003" s="262"/>
      <c r="J1003" s="262"/>
    </row>
    <row r="1004" spans="2:10">
      <c r="B1004" s="678" t="s">
        <v>1021</v>
      </c>
      <c r="C1004" s="679"/>
      <c r="D1004" s="679"/>
      <c r="E1004" s="680"/>
      <c r="F1004" s="695"/>
      <c r="G1004" s="272">
        <v>1</v>
      </c>
      <c r="H1004" s="262"/>
      <c r="I1004" s="262"/>
      <c r="J1004" s="262"/>
    </row>
    <row r="1005" spans="2:10">
      <c r="B1005" s="678" t="s">
        <v>1022</v>
      </c>
      <c r="C1005" s="679"/>
      <c r="D1005" s="679"/>
      <c r="E1005" s="680"/>
      <c r="F1005" s="695"/>
      <c r="G1005" s="272">
        <f>G1001+G1003</f>
        <v>9.59</v>
      </c>
      <c r="H1005" s="262"/>
      <c r="I1005" s="262"/>
      <c r="J1005" s="262"/>
    </row>
    <row r="1006" spans="2:10">
      <c r="B1006" s="678" t="s">
        <v>1023</v>
      </c>
      <c r="C1006" s="679"/>
      <c r="D1006" s="679"/>
      <c r="E1006" s="680"/>
      <c r="F1006" s="695"/>
      <c r="G1006" s="272">
        <f>G1005/G1004</f>
        <v>9.59</v>
      </c>
      <c r="H1006" s="262"/>
      <c r="I1006" s="262"/>
      <c r="J1006" s="262"/>
    </row>
    <row r="1007" spans="2:10">
      <c r="B1007" s="678" t="s">
        <v>1024</v>
      </c>
      <c r="C1007" s="679"/>
      <c r="D1007" s="679"/>
      <c r="E1007" s="680"/>
      <c r="F1007" s="682"/>
      <c r="G1007" s="272">
        <f>G1002+G1006</f>
        <v>14.129999999999999</v>
      </c>
      <c r="H1007" s="262"/>
      <c r="I1007" s="262"/>
      <c r="J1007" s="262"/>
    </row>
    <row r="1008" spans="2:10">
      <c r="B1008" s="678" t="s">
        <v>1025</v>
      </c>
      <c r="C1008" s="679"/>
      <c r="D1008" s="679"/>
      <c r="E1008" s="680"/>
      <c r="F1008" s="681">
        <f>$I$11</f>
        <v>0.28220000000000001</v>
      </c>
      <c r="G1008" s="272">
        <f>G1007*F1008</f>
        <v>3.9874859999999996</v>
      </c>
      <c r="H1008" s="262"/>
      <c r="I1008" s="262"/>
      <c r="J1008" s="262"/>
    </row>
    <row r="1009" spans="2:10">
      <c r="B1009" s="683" t="s">
        <v>1026</v>
      </c>
      <c r="C1009" s="684"/>
      <c r="D1009" s="684"/>
      <c r="E1009" s="685"/>
      <c r="F1009" s="682"/>
      <c r="G1009" s="273">
        <f>ROUND(SUM(G1007+G1008),2)</f>
        <v>18.12</v>
      </c>
      <c r="H1009" s="262"/>
      <c r="I1009" s="262"/>
      <c r="J1009" s="307"/>
    </row>
    <row r="1010" spans="2:10" ht="15.75" thickBot="1"/>
    <row r="1011" spans="2:10" ht="15.75" thickBot="1">
      <c r="B1011" s="696" t="s">
        <v>990</v>
      </c>
      <c r="C1011" s="697"/>
      <c r="D1011" s="697"/>
      <c r="E1011" s="697"/>
      <c r="F1011" s="697"/>
      <c r="G1011" s="697"/>
      <c r="H1011" s="697"/>
      <c r="I1011" s="697"/>
      <c r="J1011" s="698"/>
    </row>
    <row r="1012" spans="2:10">
      <c r="B1012" s="699" t="s">
        <v>7</v>
      </c>
      <c r="C1012" s="699"/>
      <c r="D1012" s="699"/>
      <c r="E1012" s="699"/>
      <c r="F1012" s="699"/>
      <c r="G1012" s="699"/>
      <c r="H1012" s="699"/>
      <c r="I1012" s="699"/>
      <c r="J1012" s="699"/>
    </row>
    <row r="1013" spans="2:10" ht="15.75" thickBot="1">
      <c r="B1013" s="699" t="s">
        <v>8</v>
      </c>
      <c r="C1013" s="699"/>
      <c r="D1013" s="699"/>
      <c r="E1013" s="699"/>
      <c r="F1013" s="699"/>
      <c r="G1013" s="699"/>
      <c r="H1013" s="699"/>
      <c r="I1013" s="699"/>
      <c r="J1013" s="699"/>
    </row>
    <row r="1014" spans="2:10">
      <c r="B1014" s="700" t="s">
        <v>991</v>
      </c>
      <c r="C1014" s="249" t="s">
        <v>992</v>
      </c>
      <c r="D1014" s="250">
        <v>6</v>
      </c>
      <c r="E1014" s="251" t="s">
        <v>993</v>
      </c>
      <c r="F1014" s="252">
        <v>2017</v>
      </c>
      <c r="G1014" s="253"/>
      <c r="H1014" s="253"/>
      <c r="I1014" s="251" t="s">
        <v>994</v>
      </c>
      <c r="J1014" s="306" t="s">
        <v>1141</v>
      </c>
    </row>
    <row r="1015" spans="2:10">
      <c r="B1015" s="701"/>
      <c r="C1015" s="255" t="s">
        <v>995</v>
      </c>
      <c r="D1015" s="703" t="s">
        <v>1138</v>
      </c>
      <c r="E1015" s="704"/>
      <c r="F1015" s="256"/>
      <c r="G1015" s="256"/>
      <c r="H1015" s="256"/>
      <c r="I1015" s="256"/>
      <c r="J1015" s="257"/>
    </row>
    <row r="1016" spans="2:10" ht="15.75">
      <c r="B1016" s="701"/>
      <c r="C1016" s="255" t="s">
        <v>997</v>
      </c>
      <c r="D1016" s="705" t="s">
        <v>1142</v>
      </c>
      <c r="E1016" s="705"/>
      <c r="F1016" s="705"/>
      <c r="G1016" s="705"/>
      <c r="H1016" s="705"/>
      <c r="I1016" s="705"/>
      <c r="J1016" s="706"/>
    </row>
    <row r="1017" spans="2:10" ht="15.75" thickBot="1">
      <c r="B1017" s="702"/>
      <c r="C1017" s="258" t="s">
        <v>999</v>
      </c>
      <c r="D1017" s="308" t="s">
        <v>801</v>
      </c>
      <c r="E1017" s="260"/>
      <c r="F1017" s="260"/>
      <c r="G1017" s="260"/>
      <c r="H1017" s="260"/>
      <c r="I1017" s="260"/>
      <c r="J1017" s="261"/>
    </row>
    <row r="1018" spans="2:10">
      <c r="B1018" s="262"/>
      <c r="C1018" s="262"/>
      <c r="D1018" s="262"/>
      <c r="E1018" s="262"/>
      <c r="F1018" s="262"/>
      <c r="G1018" s="262"/>
      <c r="H1018" s="262"/>
      <c r="I1018" s="262"/>
      <c r="J1018" s="262"/>
    </row>
    <row r="1019" spans="2:10" ht="30">
      <c r="B1019" s="263" t="s">
        <v>1001</v>
      </c>
      <c r="C1019" s="264" t="s">
        <v>1002</v>
      </c>
      <c r="D1019" s="264" t="s">
        <v>1003</v>
      </c>
      <c r="E1019" s="265" t="s">
        <v>1004</v>
      </c>
      <c r="F1019" s="265" t="s">
        <v>1005</v>
      </c>
      <c r="G1019" s="265" t="s">
        <v>1006</v>
      </c>
      <c r="H1019" s="265" t="s">
        <v>1007</v>
      </c>
      <c r="I1019" s="265" t="s">
        <v>1008</v>
      </c>
      <c r="J1019" s="265" t="s">
        <v>1009</v>
      </c>
    </row>
    <row r="1020" spans="2:10">
      <c r="B1020" s="295" t="s">
        <v>927</v>
      </c>
      <c r="C1020" s="296" t="s">
        <v>897</v>
      </c>
      <c r="D1020" s="267">
        <v>88247</v>
      </c>
      <c r="E1020" s="268">
        <v>0.25</v>
      </c>
      <c r="F1020" s="268"/>
      <c r="G1020" s="302">
        <v>8.9295039164490859</v>
      </c>
      <c r="H1020" s="268">
        <v>0</v>
      </c>
      <c r="I1020" s="268">
        <f t="shared" ref="I1020:I1022" si="24">ROUND(G1020*(1+$J$10),2)</f>
        <v>17.100000000000001</v>
      </c>
      <c r="J1020" s="269">
        <f>I1020*E1020</f>
        <v>4.2750000000000004</v>
      </c>
    </row>
    <row r="1021" spans="2:10">
      <c r="B1021" s="295" t="s">
        <v>928</v>
      </c>
      <c r="C1021" s="267" t="s">
        <v>897</v>
      </c>
      <c r="D1021" s="267">
        <v>88264</v>
      </c>
      <c r="E1021" s="268">
        <v>0.25</v>
      </c>
      <c r="F1021" s="268"/>
      <c r="G1021" s="302">
        <v>11.091383812010443</v>
      </c>
      <c r="H1021" s="268">
        <v>0</v>
      </c>
      <c r="I1021" s="268">
        <f t="shared" si="24"/>
        <v>21.24</v>
      </c>
      <c r="J1021" s="269">
        <f>I1021*E1021</f>
        <v>5.31</v>
      </c>
    </row>
    <row r="1022" spans="2:10">
      <c r="B1022" s="266"/>
      <c r="C1022" s="267"/>
      <c r="D1022" s="267"/>
      <c r="E1022" s="268"/>
      <c r="F1022" s="268"/>
      <c r="G1022" s="268"/>
      <c r="H1022" s="268">
        <v>0</v>
      </c>
      <c r="I1022" s="268">
        <f t="shared" si="24"/>
        <v>0</v>
      </c>
      <c r="J1022" s="269">
        <f>I1022*E1022</f>
        <v>0</v>
      </c>
    </row>
    <row r="1023" spans="2:10">
      <c r="B1023" s="266"/>
      <c r="C1023" s="267"/>
      <c r="D1023" s="267"/>
      <c r="E1023" s="268"/>
      <c r="F1023" s="268"/>
      <c r="G1023" s="268"/>
      <c r="H1023" s="268"/>
      <c r="I1023" s="268"/>
      <c r="J1023" s="269"/>
    </row>
    <row r="1024" spans="2:10">
      <c r="B1024" s="266"/>
      <c r="C1024" s="267"/>
      <c r="D1024" s="267"/>
      <c r="E1024" s="268"/>
      <c r="F1024" s="268"/>
      <c r="G1024" s="268"/>
      <c r="H1024" s="268"/>
      <c r="I1024" s="268"/>
      <c r="J1024" s="269"/>
    </row>
    <row r="1025" spans="2:10">
      <c r="B1025" s="266"/>
      <c r="C1025" s="266"/>
      <c r="D1025" s="267"/>
      <c r="E1025" s="267"/>
      <c r="F1025" s="268"/>
      <c r="G1025" s="268"/>
      <c r="H1025" s="268"/>
      <c r="I1025" s="268"/>
      <c r="J1025" s="269"/>
    </row>
    <row r="1026" spans="2:10">
      <c r="B1026" s="686" t="s">
        <v>1011</v>
      </c>
      <c r="C1026" s="687"/>
      <c r="D1026" s="687"/>
      <c r="E1026" s="687"/>
      <c r="F1026" s="687"/>
      <c r="G1026" s="687"/>
      <c r="H1026" s="687"/>
      <c r="I1026" s="688"/>
      <c r="J1026" s="270">
        <f>ROUND(SUM(J1020:J1025),2)</f>
        <v>9.59</v>
      </c>
    </row>
    <row r="1027" spans="2:10">
      <c r="B1027" s="689"/>
      <c r="C1027" s="689"/>
      <c r="D1027" s="689"/>
      <c r="E1027" s="689"/>
      <c r="F1027" s="689"/>
      <c r="G1027" s="689"/>
      <c r="H1027" s="689"/>
      <c r="I1027" s="689"/>
      <c r="J1027" s="689"/>
    </row>
    <row r="1028" spans="2:10" ht="30">
      <c r="B1028" s="263" t="s">
        <v>1012</v>
      </c>
      <c r="C1028" s="264" t="s">
        <v>1002</v>
      </c>
      <c r="D1028" s="264" t="s">
        <v>1072</v>
      </c>
      <c r="E1028" s="265" t="s">
        <v>1004</v>
      </c>
      <c r="F1028" s="265" t="s">
        <v>1005</v>
      </c>
      <c r="G1028" s="265" t="s">
        <v>1006</v>
      </c>
      <c r="H1028" s="265" t="s">
        <v>1007</v>
      </c>
      <c r="I1028" s="265" t="s">
        <v>1008</v>
      </c>
      <c r="J1028" s="265" t="s">
        <v>1009</v>
      </c>
    </row>
    <row r="1029" spans="2:10">
      <c r="B1029" s="303" t="s">
        <v>1142</v>
      </c>
      <c r="C1029" s="296" t="s">
        <v>698</v>
      </c>
      <c r="D1029" s="267">
        <v>38104</v>
      </c>
      <c r="E1029" s="268">
        <v>1</v>
      </c>
      <c r="F1029" s="268">
        <v>1</v>
      </c>
      <c r="G1029" s="309">
        <v>22.77</v>
      </c>
      <c r="H1029" s="268">
        <v>0</v>
      </c>
      <c r="I1029" s="268">
        <f>G1029</f>
        <v>22.77</v>
      </c>
      <c r="J1029" s="269">
        <f>I1029*E1029</f>
        <v>22.77</v>
      </c>
    </row>
    <row r="1030" spans="2:10">
      <c r="B1030" s="295"/>
      <c r="C1030" s="296"/>
      <c r="D1030" s="267"/>
      <c r="E1030" s="268"/>
      <c r="F1030" s="268"/>
      <c r="G1030" s="268"/>
      <c r="H1030" s="268">
        <v>0</v>
      </c>
      <c r="I1030" s="268">
        <f>G1030</f>
        <v>0</v>
      </c>
      <c r="J1030" s="269">
        <f>I1030*E1030</f>
        <v>0</v>
      </c>
    </row>
    <row r="1031" spans="2:10">
      <c r="B1031" s="295"/>
      <c r="C1031" s="296"/>
      <c r="D1031" s="267"/>
      <c r="E1031" s="268"/>
      <c r="F1031" s="268"/>
      <c r="G1031" s="268"/>
      <c r="H1031" s="268"/>
      <c r="I1031" s="268"/>
      <c r="J1031" s="269"/>
    </row>
    <row r="1032" spans="2:10">
      <c r="B1032" s="295"/>
      <c r="C1032" s="296"/>
      <c r="D1032" s="296"/>
      <c r="E1032" s="268"/>
      <c r="F1032" s="268"/>
      <c r="G1032" s="268"/>
      <c r="H1032" s="268"/>
      <c r="I1032" s="268"/>
      <c r="J1032" s="269"/>
    </row>
    <row r="1033" spans="2:10">
      <c r="B1033" s="295"/>
      <c r="C1033" s="266"/>
      <c r="D1033" s="267"/>
      <c r="E1033" s="267"/>
      <c r="F1033" s="268"/>
      <c r="G1033" s="268"/>
      <c r="H1033" s="268"/>
      <c r="I1033" s="268"/>
      <c r="J1033" s="269"/>
    </row>
    <row r="1034" spans="2:10">
      <c r="B1034" s="266"/>
      <c r="C1034" s="266"/>
      <c r="D1034" s="267"/>
      <c r="E1034" s="267"/>
      <c r="F1034" s="268"/>
      <c r="G1034" s="268"/>
      <c r="H1034" s="268"/>
      <c r="I1034" s="268"/>
      <c r="J1034" s="269"/>
    </row>
    <row r="1035" spans="2:10">
      <c r="B1035" s="266"/>
      <c r="C1035" s="266"/>
      <c r="D1035" s="267"/>
      <c r="E1035" s="267"/>
      <c r="F1035" s="268"/>
      <c r="G1035" s="268"/>
      <c r="H1035" s="268"/>
      <c r="I1035" s="268"/>
      <c r="J1035" s="269"/>
    </row>
    <row r="1036" spans="2:10">
      <c r="B1036" s="266"/>
      <c r="C1036" s="266"/>
      <c r="D1036" s="267"/>
      <c r="E1036" s="267"/>
      <c r="F1036" s="268"/>
      <c r="G1036" s="268"/>
      <c r="H1036" s="268"/>
      <c r="I1036" s="268"/>
      <c r="J1036" s="269"/>
    </row>
    <row r="1037" spans="2:10">
      <c r="B1037" s="266"/>
      <c r="C1037" s="266"/>
      <c r="D1037" s="267"/>
      <c r="E1037" s="267"/>
      <c r="F1037" s="268"/>
      <c r="G1037" s="268"/>
      <c r="H1037" s="268"/>
      <c r="I1037" s="268"/>
      <c r="J1037" s="269"/>
    </row>
    <row r="1038" spans="2:10">
      <c r="B1038" s="266"/>
      <c r="C1038" s="266"/>
      <c r="D1038" s="267"/>
      <c r="E1038" s="267"/>
      <c r="F1038" s="268"/>
      <c r="G1038" s="268"/>
      <c r="H1038" s="268"/>
      <c r="I1038" s="268"/>
      <c r="J1038" s="269"/>
    </row>
    <row r="1039" spans="2:10">
      <c r="B1039" s="266"/>
      <c r="C1039" s="266"/>
      <c r="D1039" s="267"/>
      <c r="E1039" s="267"/>
      <c r="F1039" s="268"/>
      <c r="G1039" s="268"/>
      <c r="H1039" s="268"/>
      <c r="I1039" s="268"/>
      <c r="J1039" s="269"/>
    </row>
    <row r="1040" spans="2:10">
      <c r="B1040" s="266"/>
      <c r="C1040" s="266"/>
      <c r="D1040" s="267"/>
      <c r="E1040" s="267"/>
      <c r="F1040" s="268"/>
      <c r="G1040" s="268"/>
      <c r="H1040" s="268"/>
      <c r="I1040" s="268"/>
      <c r="J1040" s="269"/>
    </row>
    <row r="1041" spans="2:10">
      <c r="B1041" s="266"/>
      <c r="C1041" s="266"/>
      <c r="D1041" s="267"/>
      <c r="E1041" s="267"/>
      <c r="F1041" s="268"/>
      <c r="G1041" s="268"/>
      <c r="H1041" s="268"/>
      <c r="I1041" s="268"/>
      <c r="J1041" s="269"/>
    </row>
    <row r="1042" spans="2:10">
      <c r="B1042" s="266"/>
      <c r="C1042" s="266"/>
      <c r="D1042" s="267"/>
      <c r="E1042" s="267"/>
      <c r="F1042" s="268"/>
      <c r="G1042" s="268"/>
      <c r="H1042" s="268"/>
      <c r="I1042" s="268"/>
      <c r="J1042" s="269"/>
    </row>
    <row r="1043" spans="2:10">
      <c r="B1043" s="266"/>
      <c r="C1043" s="266"/>
      <c r="D1043" s="267"/>
      <c r="E1043" s="267"/>
      <c r="F1043" s="268"/>
      <c r="G1043" s="268"/>
      <c r="H1043" s="268"/>
      <c r="I1043" s="268"/>
      <c r="J1043" s="269"/>
    </row>
    <row r="1044" spans="2:10">
      <c r="B1044" s="266"/>
      <c r="C1044" s="266"/>
      <c r="D1044" s="267"/>
      <c r="E1044" s="267"/>
      <c r="F1044" s="268"/>
      <c r="G1044" s="268"/>
      <c r="H1044" s="268"/>
      <c r="I1044" s="268"/>
      <c r="J1044" s="269"/>
    </row>
    <row r="1045" spans="2:10">
      <c r="B1045" s="266"/>
      <c r="C1045" s="266"/>
      <c r="D1045" s="267"/>
      <c r="E1045" s="267"/>
      <c r="F1045" s="268"/>
      <c r="G1045" s="268"/>
      <c r="H1045" s="268"/>
      <c r="I1045" s="268"/>
      <c r="J1045" s="269"/>
    </row>
    <row r="1046" spans="2:10">
      <c r="B1046" s="266"/>
      <c r="C1046" s="266"/>
      <c r="D1046" s="267"/>
      <c r="E1046" s="267"/>
      <c r="F1046" s="268"/>
      <c r="G1046" s="268"/>
      <c r="H1046" s="268"/>
      <c r="I1046" s="268"/>
      <c r="J1046" s="269"/>
    </row>
    <row r="1047" spans="2:10">
      <c r="B1047" s="686" t="s">
        <v>1011</v>
      </c>
      <c r="C1047" s="687"/>
      <c r="D1047" s="687"/>
      <c r="E1047" s="687"/>
      <c r="F1047" s="687"/>
      <c r="G1047" s="687"/>
      <c r="H1047" s="687"/>
      <c r="I1047" s="688"/>
      <c r="J1047" s="270">
        <f>ROUND(SUM(J1029:J1046),2)</f>
        <v>22.77</v>
      </c>
    </row>
    <row r="1048" spans="2:10">
      <c r="B1048" s="690"/>
      <c r="C1048" s="690"/>
      <c r="D1048" s="690"/>
      <c r="E1048" s="690"/>
      <c r="F1048" s="690"/>
      <c r="G1048" s="690"/>
      <c r="H1048" s="690"/>
      <c r="I1048" s="690"/>
      <c r="J1048" s="690"/>
    </row>
    <row r="1049" spans="2:10" ht="30">
      <c r="B1049" s="263" t="s">
        <v>1013</v>
      </c>
      <c r="C1049" s="264" t="s">
        <v>1002</v>
      </c>
      <c r="D1049" s="264" t="s">
        <v>1003</v>
      </c>
      <c r="E1049" s="265" t="s">
        <v>1004</v>
      </c>
      <c r="F1049" s="265" t="s">
        <v>1005</v>
      </c>
      <c r="G1049" s="265" t="s">
        <v>1006</v>
      </c>
      <c r="H1049" s="265" t="s">
        <v>1007</v>
      </c>
      <c r="I1049" s="265" t="s">
        <v>1008</v>
      </c>
      <c r="J1049" s="265" t="s">
        <v>1009</v>
      </c>
    </row>
    <row r="1050" spans="2:10">
      <c r="B1050" s="266"/>
      <c r="C1050" s="267"/>
      <c r="D1050" s="267"/>
      <c r="E1050" s="268"/>
      <c r="F1050" s="268"/>
      <c r="G1050" s="268"/>
      <c r="H1050" s="268"/>
      <c r="I1050" s="268"/>
      <c r="J1050" s="271"/>
    </row>
    <row r="1051" spans="2:10">
      <c r="B1051" s="266"/>
      <c r="C1051" s="267"/>
      <c r="D1051" s="267"/>
      <c r="E1051" s="268"/>
      <c r="F1051" s="268"/>
      <c r="G1051" s="268"/>
      <c r="H1051" s="268"/>
      <c r="I1051" s="268"/>
      <c r="J1051" s="271"/>
    </row>
    <row r="1052" spans="2:10">
      <c r="B1052" s="266"/>
      <c r="C1052" s="267"/>
      <c r="D1052" s="267"/>
      <c r="E1052" s="268"/>
      <c r="F1052" s="268"/>
      <c r="G1052" s="268"/>
      <c r="H1052" s="268"/>
      <c r="I1052" s="268"/>
      <c r="J1052" s="271"/>
    </row>
    <row r="1053" spans="2:10">
      <c r="B1053" s="266"/>
      <c r="C1053" s="267"/>
      <c r="D1053" s="267"/>
      <c r="E1053" s="268"/>
      <c r="F1053" s="268"/>
      <c r="G1053" s="268"/>
      <c r="H1053" s="268"/>
      <c r="I1053" s="268"/>
      <c r="J1053" s="271"/>
    </row>
    <row r="1054" spans="2:10">
      <c r="B1054" s="266"/>
      <c r="C1054" s="266"/>
      <c r="D1054" s="267"/>
      <c r="E1054" s="267"/>
      <c r="F1054" s="268"/>
      <c r="G1054" s="268"/>
      <c r="H1054" s="268"/>
      <c r="I1054" s="268"/>
      <c r="J1054" s="271"/>
    </row>
    <row r="1055" spans="2:10">
      <c r="B1055" s="686" t="s">
        <v>1011</v>
      </c>
      <c r="C1055" s="687"/>
      <c r="D1055" s="687"/>
      <c r="E1055" s="687"/>
      <c r="F1055" s="687"/>
      <c r="G1055" s="687"/>
      <c r="H1055" s="687"/>
      <c r="I1055" s="688"/>
      <c r="J1055" s="270">
        <f>ROUND(SUM(J1050:J1054),2)</f>
        <v>0</v>
      </c>
    </row>
    <row r="1056" spans="2:10">
      <c r="B1056" s="262"/>
      <c r="C1056" s="262"/>
      <c r="D1056" s="262"/>
      <c r="E1056" s="262"/>
      <c r="F1056" s="262"/>
      <c r="G1056" s="262"/>
      <c r="H1056" s="262"/>
      <c r="I1056" s="262"/>
      <c r="J1056" s="262"/>
    </row>
    <row r="1057" spans="2:10">
      <c r="B1057" s="691" t="s">
        <v>1014</v>
      </c>
      <c r="C1057" s="691"/>
      <c r="D1057" s="691"/>
      <c r="E1057" s="691"/>
      <c r="F1057" s="691"/>
      <c r="G1057" s="691"/>
      <c r="H1057" s="262"/>
      <c r="I1057" s="262"/>
      <c r="J1057" s="262"/>
    </row>
    <row r="1058" spans="2:10">
      <c r="B1058" s="692" t="s">
        <v>1015</v>
      </c>
      <c r="C1058" s="693"/>
      <c r="D1058" s="693"/>
      <c r="E1058" s="694"/>
      <c r="F1058" s="265" t="s">
        <v>1016</v>
      </c>
      <c r="G1058" s="265" t="s">
        <v>1017</v>
      </c>
      <c r="H1058" s="262"/>
      <c r="I1058" s="262"/>
      <c r="J1058" s="262"/>
    </row>
    <row r="1059" spans="2:10">
      <c r="B1059" s="678" t="s">
        <v>1018</v>
      </c>
      <c r="C1059" s="679"/>
      <c r="D1059" s="679"/>
      <c r="E1059" s="680"/>
      <c r="F1059" s="681">
        <f>$J$10</f>
        <v>0.91500000000000004</v>
      </c>
      <c r="G1059" s="272">
        <f>J1026</f>
        <v>9.59</v>
      </c>
      <c r="H1059" s="262"/>
      <c r="I1059" s="262"/>
      <c r="J1059" s="262"/>
    </row>
    <row r="1060" spans="2:10">
      <c r="B1060" s="678" t="s">
        <v>1019</v>
      </c>
      <c r="C1060" s="679"/>
      <c r="D1060" s="679"/>
      <c r="E1060" s="680"/>
      <c r="F1060" s="695"/>
      <c r="G1060" s="272">
        <f>J1047</f>
        <v>22.77</v>
      </c>
      <c r="H1060" s="262"/>
      <c r="I1060" s="262"/>
      <c r="J1060" s="262"/>
    </row>
    <row r="1061" spans="2:10">
      <c r="B1061" s="678" t="s">
        <v>1020</v>
      </c>
      <c r="C1061" s="679"/>
      <c r="D1061" s="679"/>
      <c r="E1061" s="680"/>
      <c r="F1061" s="695"/>
      <c r="G1061" s="272">
        <f>J1055</f>
        <v>0</v>
      </c>
      <c r="H1061" s="262"/>
      <c r="I1061" s="262"/>
      <c r="J1061" s="262"/>
    </row>
    <row r="1062" spans="2:10">
      <c r="B1062" s="678" t="s">
        <v>1021</v>
      </c>
      <c r="C1062" s="679"/>
      <c r="D1062" s="679"/>
      <c r="E1062" s="680"/>
      <c r="F1062" s="695"/>
      <c r="G1062" s="272">
        <v>1</v>
      </c>
      <c r="H1062" s="262"/>
      <c r="I1062" s="262"/>
      <c r="J1062" s="262"/>
    </row>
    <row r="1063" spans="2:10">
      <c r="B1063" s="678" t="s">
        <v>1022</v>
      </c>
      <c r="C1063" s="679"/>
      <c r="D1063" s="679"/>
      <c r="E1063" s="680"/>
      <c r="F1063" s="695"/>
      <c r="G1063" s="272">
        <f>G1059+G1061</f>
        <v>9.59</v>
      </c>
      <c r="H1063" s="262"/>
      <c r="I1063" s="262"/>
      <c r="J1063" s="262"/>
    </row>
    <row r="1064" spans="2:10">
      <c r="B1064" s="678" t="s">
        <v>1023</v>
      </c>
      <c r="C1064" s="679"/>
      <c r="D1064" s="679"/>
      <c r="E1064" s="680"/>
      <c r="F1064" s="695"/>
      <c r="G1064" s="272">
        <f>G1063/G1062</f>
        <v>9.59</v>
      </c>
      <c r="H1064" s="262"/>
      <c r="I1064" s="262"/>
      <c r="J1064" s="262"/>
    </row>
    <row r="1065" spans="2:10">
      <c r="B1065" s="678" t="s">
        <v>1024</v>
      </c>
      <c r="C1065" s="679"/>
      <c r="D1065" s="679"/>
      <c r="E1065" s="680"/>
      <c r="F1065" s="682"/>
      <c r="G1065" s="272">
        <f>G1060+G1064</f>
        <v>32.36</v>
      </c>
      <c r="H1065" s="262"/>
      <c r="I1065" s="262"/>
      <c r="J1065" s="262"/>
    </row>
    <row r="1066" spans="2:10">
      <c r="B1066" s="678" t="s">
        <v>1025</v>
      </c>
      <c r="C1066" s="679"/>
      <c r="D1066" s="679"/>
      <c r="E1066" s="680"/>
      <c r="F1066" s="681">
        <f>$I$11</f>
        <v>0.28220000000000001</v>
      </c>
      <c r="G1066" s="272">
        <f>G1065*F1066</f>
        <v>9.1319920000000003</v>
      </c>
      <c r="H1066" s="262"/>
      <c r="I1066" s="262"/>
      <c r="J1066" s="262"/>
    </row>
    <row r="1067" spans="2:10">
      <c r="B1067" s="683" t="s">
        <v>1026</v>
      </c>
      <c r="C1067" s="684"/>
      <c r="D1067" s="684"/>
      <c r="E1067" s="685"/>
      <c r="F1067" s="682"/>
      <c r="G1067" s="273">
        <f>ROUND(SUM(G1065+G1066),2)</f>
        <v>41.49</v>
      </c>
      <c r="H1067" s="262"/>
      <c r="I1067" s="262"/>
      <c r="J1067" s="307"/>
    </row>
    <row r="1068" spans="2:10" ht="15.75" thickBot="1"/>
    <row r="1069" spans="2:10" ht="15.75" thickBot="1">
      <c r="B1069" s="696" t="s">
        <v>990</v>
      </c>
      <c r="C1069" s="697"/>
      <c r="D1069" s="697"/>
      <c r="E1069" s="697"/>
      <c r="F1069" s="697"/>
      <c r="G1069" s="697"/>
      <c r="H1069" s="697"/>
      <c r="I1069" s="697"/>
      <c r="J1069" s="698"/>
    </row>
    <row r="1070" spans="2:10">
      <c r="B1070" s="699" t="s">
        <v>7</v>
      </c>
      <c r="C1070" s="699"/>
      <c r="D1070" s="699"/>
      <c r="E1070" s="699"/>
      <c r="F1070" s="699"/>
      <c r="G1070" s="699"/>
      <c r="H1070" s="699"/>
      <c r="I1070" s="699"/>
      <c r="J1070" s="699"/>
    </row>
    <row r="1071" spans="2:10" ht="15.75" thickBot="1">
      <c r="B1071" s="699" t="s">
        <v>8</v>
      </c>
      <c r="C1071" s="699"/>
      <c r="D1071" s="699"/>
      <c r="E1071" s="699"/>
      <c r="F1071" s="699"/>
      <c r="G1071" s="699"/>
      <c r="H1071" s="699"/>
      <c r="I1071" s="699"/>
      <c r="J1071" s="699"/>
    </row>
    <row r="1072" spans="2:10">
      <c r="B1072" s="700" t="s">
        <v>991</v>
      </c>
      <c r="C1072" s="249" t="s">
        <v>992</v>
      </c>
      <c r="D1072" s="250">
        <v>6</v>
      </c>
      <c r="E1072" s="251" t="s">
        <v>993</v>
      </c>
      <c r="F1072" s="252">
        <v>2017</v>
      </c>
      <c r="G1072" s="253"/>
      <c r="H1072" s="253"/>
      <c r="I1072" s="251" t="s">
        <v>994</v>
      </c>
      <c r="J1072" s="306"/>
    </row>
    <row r="1073" spans="2:10">
      <c r="B1073" s="701"/>
      <c r="C1073" s="255" t="s">
        <v>995</v>
      </c>
      <c r="D1073" s="703" t="s">
        <v>1158</v>
      </c>
      <c r="E1073" s="704"/>
      <c r="F1073" s="256"/>
      <c r="G1073" s="256"/>
      <c r="H1073" s="256"/>
      <c r="I1073" s="256"/>
      <c r="J1073" s="257"/>
    </row>
    <row r="1074" spans="2:10" ht="33.75" customHeight="1">
      <c r="B1074" s="701"/>
      <c r="C1074" s="255" t="s">
        <v>997</v>
      </c>
      <c r="D1074" s="705" t="s">
        <v>1160</v>
      </c>
      <c r="E1074" s="705"/>
      <c r="F1074" s="705"/>
      <c r="G1074" s="705"/>
      <c r="H1074" s="705"/>
      <c r="I1074" s="705"/>
      <c r="J1074" s="706"/>
    </row>
    <row r="1075" spans="2:10" ht="15.75" thickBot="1">
      <c r="B1075" s="702"/>
      <c r="C1075" s="258" t="s">
        <v>999</v>
      </c>
      <c r="D1075" s="308" t="s">
        <v>1163</v>
      </c>
      <c r="E1075" s="260"/>
      <c r="F1075" s="260"/>
      <c r="G1075" s="260"/>
      <c r="H1075" s="260"/>
      <c r="I1075" s="260"/>
      <c r="J1075" s="261"/>
    </row>
    <row r="1076" spans="2:10">
      <c r="B1076" s="262"/>
      <c r="C1076" s="262"/>
      <c r="D1076" s="262"/>
      <c r="E1076" s="262"/>
      <c r="F1076" s="262"/>
      <c r="G1076" s="262"/>
      <c r="H1076" s="262"/>
      <c r="I1076" s="262"/>
      <c r="J1076" s="262"/>
    </row>
    <row r="1077" spans="2:10" ht="30">
      <c r="B1077" s="263" t="s">
        <v>1001</v>
      </c>
      <c r="C1077" s="264" t="s">
        <v>1002</v>
      </c>
      <c r="D1077" s="264" t="s">
        <v>1003</v>
      </c>
      <c r="E1077" s="265" t="s">
        <v>1004</v>
      </c>
      <c r="F1077" s="265" t="s">
        <v>1005</v>
      </c>
      <c r="G1077" s="265" t="s">
        <v>1006</v>
      </c>
      <c r="H1077" s="265" t="s">
        <v>1007</v>
      </c>
      <c r="I1077" s="265" t="s">
        <v>1008</v>
      </c>
      <c r="J1077" s="265" t="s">
        <v>1009</v>
      </c>
    </row>
    <row r="1078" spans="2:10">
      <c r="B1078" s="295" t="s">
        <v>1101</v>
      </c>
      <c r="C1078" s="267" t="s">
        <v>897</v>
      </c>
      <c r="D1078" s="267">
        <v>88309</v>
      </c>
      <c r="E1078" s="268">
        <v>0.3</v>
      </c>
      <c r="F1078" s="268">
        <v>1</v>
      </c>
      <c r="G1078" s="302">
        <f>(18.62/1.915)</f>
        <v>9.7232375979112273</v>
      </c>
      <c r="H1078" s="268">
        <v>0</v>
      </c>
      <c r="I1078" s="268">
        <f t="shared" ref="I1078:I1079" si="25">ROUND(G1078*(1+$J$10),2)</f>
        <v>18.62</v>
      </c>
      <c r="J1078" s="269">
        <f>I1078*E1078</f>
        <v>5.5860000000000003</v>
      </c>
    </row>
    <row r="1079" spans="2:10">
      <c r="B1079" s="295" t="s">
        <v>1102</v>
      </c>
      <c r="C1079" s="267" t="s">
        <v>897</v>
      </c>
      <c r="D1079" s="267">
        <v>88316</v>
      </c>
      <c r="E1079" s="268">
        <v>0.3</v>
      </c>
      <c r="F1079" s="268">
        <v>1</v>
      </c>
      <c r="G1079" s="268">
        <v>7.16</v>
      </c>
      <c r="H1079" s="268">
        <v>0</v>
      </c>
      <c r="I1079" s="268">
        <f t="shared" si="25"/>
        <v>13.71</v>
      </c>
      <c r="J1079" s="269">
        <f>I1079*E1079</f>
        <v>4.1130000000000004</v>
      </c>
    </row>
    <row r="1080" spans="2:10">
      <c r="B1080" s="266"/>
      <c r="C1080" s="267"/>
      <c r="D1080" s="267"/>
      <c r="E1080" s="268"/>
      <c r="F1080" s="268"/>
      <c r="G1080" s="268"/>
      <c r="H1080" s="268"/>
      <c r="I1080" s="268"/>
      <c r="J1080" s="269"/>
    </row>
    <row r="1081" spans="2:10">
      <c r="B1081" s="266"/>
      <c r="C1081" s="267"/>
      <c r="D1081" s="267"/>
      <c r="E1081" s="268"/>
      <c r="F1081" s="268"/>
      <c r="G1081" s="268"/>
      <c r="H1081" s="268"/>
      <c r="I1081" s="268"/>
      <c r="J1081" s="269"/>
    </row>
    <row r="1082" spans="2:10">
      <c r="B1082" s="266"/>
      <c r="C1082" s="267"/>
      <c r="D1082" s="267"/>
      <c r="E1082" s="268"/>
      <c r="F1082" s="268"/>
      <c r="G1082" s="268"/>
      <c r="H1082" s="268"/>
      <c r="I1082" s="268"/>
      <c r="J1082" s="269"/>
    </row>
    <row r="1083" spans="2:10">
      <c r="B1083" s="266"/>
      <c r="C1083" s="266"/>
      <c r="D1083" s="267"/>
      <c r="E1083" s="267"/>
      <c r="F1083" s="268"/>
      <c r="G1083" s="268"/>
      <c r="H1083" s="268"/>
      <c r="I1083" s="268"/>
      <c r="J1083" s="269"/>
    </row>
    <row r="1084" spans="2:10">
      <c r="B1084" s="686" t="s">
        <v>1011</v>
      </c>
      <c r="C1084" s="687"/>
      <c r="D1084" s="687"/>
      <c r="E1084" s="687"/>
      <c r="F1084" s="687"/>
      <c r="G1084" s="687"/>
      <c r="H1084" s="687"/>
      <c r="I1084" s="688"/>
      <c r="J1084" s="270">
        <f>ROUND(SUM(J1078:J1083),2)</f>
        <v>9.6999999999999993</v>
      </c>
    </row>
    <row r="1085" spans="2:10">
      <c r="B1085" s="689"/>
      <c r="C1085" s="689"/>
      <c r="D1085" s="689"/>
      <c r="E1085" s="689"/>
      <c r="F1085" s="689"/>
      <c r="G1085" s="689"/>
      <c r="H1085" s="689"/>
      <c r="I1085" s="689"/>
      <c r="J1085" s="689"/>
    </row>
    <row r="1086" spans="2:10" ht="30">
      <c r="B1086" s="263" t="s">
        <v>1012</v>
      </c>
      <c r="C1086" s="264" t="s">
        <v>1002</v>
      </c>
      <c r="D1086" s="264" t="s">
        <v>1072</v>
      </c>
      <c r="E1086" s="265" t="s">
        <v>1004</v>
      </c>
      <c r="F1086" s="265" t="s">
        <v>1005</v>
      </c>
      <c r="G1086" s="265" t="s">
        <v>1006</v>
      </c>
      <c r="H1086" s="265" t="s">
        <v>1007</v>
      </c>
      <c r="I1086" s="265" t="s">
        <v>1008</v>
      </c>
      <c r="J1086" s="265" t="s">
        <v>1009</v>
      </c>
    </row>
    <row r="1087" spans="2:10" ht="45">
      <c r="B1087" s="295" t="s">
        <v>1164</v>
      </c>
      <c r="C1087" s="296" t="s">
        <v>1163</v>
      </c>
      <c r="D1087" s="267">
        <v>7568</v>
      </c>
      <c r="E1087" s="268">
        <v>2</v>
      </c>
      <c r="F1087" s="268">
        <v>1</v>
      </c>
      <c r="G1087" s="309">
        <v>0.36</v>
      </c>
      <c r="H1087" s="268">
        <v>0</v>
      </c>
      <c r="I1087" s="268">
        <f>G1087</f>
        <v>0.36</v>
      </c>
      <c r="J1087" s="269">
        <f>I1087*E1087</f>
        <v>0.72</v>
      </c>
    </row>
    <row r="1088" spans="2:10" ht="30">
      <c r="B1088" s="295" t="s">
        <v>1165</v>
      </c>
      <c r="C1088" s="296" t="s">
        <v>1163</v>
      </c>
      <c r="D1088" s="267">
        <v>67090</v>
      </c>
      <c r="E1088" s="268">
        <v>1</v>
      </c>
      <c r="F1088" s="268">
        <v>1</v>
      </c>
      <c r="G1088" s="268">
        <v>14.44</v>
      </c>
      <c r="H1088" s="268">
        <v>0</v>
      </c>
      <c r="I1088" s="268">
        <f>G1088</f>
        <v>14.44</v>
      </c>
      <c r="J1088" s="269">
        <f>I1088*E1088</f>
        <v>14.44</v>
      </c>
    </row>
    <row r="1089" spans="2:10">
      <c r="B1089" s="295"/>
      <c r="C1089" s="296"/>
      <c r="D1089" s="267"/>
      <c r="E1089" s="268"/>
      <c r="F1089" s="268"/>
      <c r="G1089" s="268"/>
      <c r="H1089" s="268"/>
      <c r="I1089" s="268"/>
      <c r="J1089" s="269"/>
    </row>
    <row r="1090" spans="2:10">
      <c r="B1090" s="295"/>
      <c r="C1090" s="296"/>
      <c r="D1090" s="296"/>
      <c r="E1090" s="268"/>
      <c r="F1090" s="268"/>
      <c r="G1090" s="268"/>
      <c r="H1090" s="268"/>
      <c r="I1090" s="268"/>
      <c r="J1090" s="269"/>
    </row>
    <row r="1091" spans="2:10">
      <c r="B1091" s="295"/>
      <c r="C1091" s="266"/>
      <c r="D1091" s="267"/>
      <c r="E1091" s="267"/>
      <c r="F1091" s="268"/>
      <c r="G1091" s="268"/>
      <c r="H1091" s="268"/>
      <c r="I1091" s="268"/>
      <c r="J1091" s="269"/>
    </row>
    <row r="1092" spans="2:10">
      <c r="B1092" s="266"/>
      <c r="C1092" s="266"/>
      <c r="D1092" s="267"/>
      <c r="E1092" s="267"/>
      <c r="F1092" s="268"/>
      <c r="G1092" s="268"/>
      <c r="H1092" s="268"/>
      <c r="I1092" s="268"/>
      <c r="J1092" s="269"/>
    </row>
    <row r="1093" spans="2:10">
      <c r="B1093" s="266"/>
      <c r="C1093" s="266"/>
      <c r="D1093" s="267"/>
      <c r="E1093" s="267"/>
      <c r="F1093" s="268"/>
      <c r="G1093" s="268"/>
      <c r="H1093" s="268"/>
      <c r="I1093" s="268"/>
      <c r="J1093" s="269"/>
    </row>
    <row r="1094" spans="2:10">
      <c r="B1094" s="266"/>
      <c r="C1094" s="266"/>
      <c r="D1094" s="267"/>
      <c r="E1094" s="267"/>
      <c r="F1094" s="268"/>
      <c r="G1094" s="268"/>
      <c r="H1094" s="268"/>
      <c r="I1094" s="268"/>
      <c r="J1094" s="269"/>
    </row>
    <row r="1095" spans="2:10">
      <c r="B1095" s="266"/>
      <c r="C1095" s="266"/>
      <c r="D1095" s="267"/>
      <c r="E1095" s="267"/>
      <c r="F1095" s="268"/>
      <c r="G1095" s="268"/>
      <c r="H1095" s="268"/>
      <c r="I1095" s="268"/>
      <c r="J1095" s="269"/>
    </row>
    <row r="1096" spans="2:10">
      <c r="B1096" s="266"/>
      <c r="C1096" s="266"/>
      <c r="D1096" s="267"/>
      <c r="E1096" s="267"/>
      <c r="F1096" s="268"/>
      <c r="G1096" s="268"/>
      <c r="H1096" s="268"/>
      <c r="I1096" s="268"/>
      <c r="J1096" s="269"/>
    </row>
    <row r="1097" spans="2:10">
      <c r="B1097" s="266"/>
      <c r="C1097" s="266"/>
      <c r="D1097" s="267"/>
      <c r="E1097" s="267"/>
      <c r="F1097" s="268"/>
      <c r="G1097" s="268"/>
      <c r="H1097" s="268"/>
      <c r="I1097" s="268"/>
      <c r="J1097" s="269"/>
    </row>
    <row r="1098" spans="2:10">
      <c r="B1098" s="266"/>
      <c r="C1098" s="266"/>
      <c r="D1098" s="267"/>
      <c r="E1098" s="267"/>
      <c r="F1098" s="268"/>
      <c r="G1098" s="268"/>
      <c r="H1098" s="268"/>
      <c r="I1098" s="268"/>
      <c r="J1098" s="269"/>
    </row>
    <row r="1099" spans="2:10">
      <c r="B1099" s="266"/>
      <c r="C1099" s="266"/>
      <c r="D1099" s="267"/>
      <c r="E1099" s="267"/>
      <c r="F1099" s="268"/>
      <c r="G1099" s="268"/>
      <c r="H1099" s="268"/>
      <c r="I1099" s="268"/>
      <c r="J1099" s="269"/>
    </row>
    <row r="1100" spans="2:10">
      <c r="B1100" s="686" t="s">
        <v>1011</v>
      </c>
      <c r="C1100" s="687"/>
      <c r="D1100" s="687"/>
      <c r="E1100" s="687"/>
      <c r="F1100" s="687"/>
      <c r="G1100" s="687"/>
      <c r="H1100" s="687"/>
      <c r="I1100" s="688"/>
      <c r="J1100" s="270">
        <f>ROUND(SUM(J1087:J1099),2)</f>
        <v>15.16</v>
      </c>
    </row>
    <row r="1101" spans="2:10">
      <c r="B1101" s="690"/>
      <c r="C1101" s="690"/>
      <c r="D1101" s="690"/>
      <c r="E1101" s="690"/>
      <c r="F1101" s="690"/>
      <c r="G1101" s="690"/>
      <c r="H1101" s="690"/>
      <c r="I1101" s="690"/>
      <c r="J1101" s="690"/>
    </row>
    <row r="1102" spans="2:10" ht="30">
      <c r="B1102" s="263" t="s">
        <v>1013</v>
      </c>
      <c r="C1102" s="264" t="s">
        <v>1002</v>
      </c>
      <c r="D1102" s="264" t="s">
        <v>1003</v>
      </c>
      <c r="E1102" s="265" t="s">
        <v>1004</v>
      </c>
      <c r="F1102" s="265" t="s">
        <v>1005</v>
      </c>
      <c r="G1102" s="265" t="s">
        <v>1006</v>
      </c>
      <c r="H1102" s="265" t="s">
        <v>1007</v>
      </c>
      <c r="I1102" s="265" t="s">
        <v>1008</v>
      </c>
      <c r="J1102" s="265" t="s">
        <v>1009</v>
      </c>
    </row>
    <row r="1103" spans="2:10">
      <c r="B1103" s="266"/>
      <c r="C1103" s="267"/>
      <c r="D1103" s="267"/>
      <c r="E1103" s="268"/>
      <c r="F1103" s="268"/>
      <c r="G1103" s="268"/>
      <c r="H1103" s="268"/>
      <c r="I1103" s="268"/>
      <c r="J1103" s="271"/>
    </row>
    <row r="1104" spans="2:10">
      <c r="B1104" s="266"/>
      <c r="C1104" s="267"/>
      <c r="D1104" s="267"/>
      <c r="E1104" s="268"/>
      <c r="F1104" s="268"/>
      <c r="G1104" s="268"/>
      <c r="H1104" s="268"/>
      <c r="I1104" s="268"/>
      <c r="J1104" s="271"/>
    </row>
    <row r="1105" spans="2:10">
      <c r="B1105" s="266"/>
      <c r="C1105" s="267"/>
      <c r="D1105" s="267"/>
      <c r="E1105" s="268"/>
      <c r="F1105" s="268"/>
      <c r="G1105" s="268"/>
      <c r="H1105" s="268"/>
      <c r="I1105" s="268"/>
      <c r="J1105" s="271"/>
    </row>
    <row r="1106" spans="2:10">
      <c r="B1106" s="266"/>
      <c r="C1106" s="267"/>
      <c r="D1106" s="267"/>
      <c r="E1106" s="268"/>
      <c r="F1106" s="268"/>
      <c r="G1106" s="268"/>
      <c r="H1106" s="268"/>
      <c r="I1106" s="268"/>
      <c r="J1106" s="271"/>
    </row>
    <row r="1107" spans="2:10">
      <c r="B1107" s="266"/>
      <c r="C1107" s="266"/>
      <c r="D1107" s="267"/>
      <c r="E1107" s="267"/>
      <c r="F1107" s="268"/>
      <c r="G1107" s="268"/>
      <c r="H1107" s="268"/>
      <c r="I1107" s="268"/>
      <c r="J1107" s="271"/>
    </row>
    <row r="1108" spans="2:10">
      <c r="B1108" s="686" t="s">
        <v>1011</v>
      </c>
      <c r="C1108" s="687"/>
      <c r="D1108" s="687"/>
      <c r="E1108" s="687"/>
      <c r="F1108" s="687"/>
      <c r="G1108" s="687"/>
      <c r="H1108" s="687"/>
      <c r="I1108" s="688"/>
      <c r="J1108" s="270">
        <f>ROUND(SUM(J1103:J1107),2)</f>
        <v>0</v>
      </c>
    </row>
    <row r="1109" spans="2:10">
      <c r="B1109" s="262"/>
      <c r="C1109" s="262"/>
      <c r="D1109" s="262"/>
      <c r="E1109" s="262"/>
      <c r="F1109" s="262"/>
      <c r="G1109" s="262"/>
      <c r="H1109" s="262"/>
      <c r="I1109" s="262"/>
      <c r="J1109" s="262"/>
    </row>
    <row r="1110" spans="2:10">
      <c r="B1110" s="691" t="s">
        <v>1014</v>
      </c>
      <c r="C1110" s="691"/>
      <c r="D1110" s="691"/>
      <c r="E1110" s="691"/>
      <c r="F1110" s="691"/>
      <c r="G1110" s="691"/>
      <c r="H1110" s="262"/>
      <c r="I1110" s="262"/>
      <c r="J1110" s="262"/>
    </row>
    <row r="1111" spans="2:10">
      <c r="B1111" s="692" t="s">
        <v>1015</v>
      </c>
      <c r="C1111" s="693"/>
      <c r="D1111" s="693"/>
      <c r="E1111" s="694"/>
      <c r="F1111" s="265" t="s">
        <v>1016</v>
      </c>
      <c r="G1111" s="265" t="s">
        <v>1017</v>
      </c>
      <c r="H1111" s="262"/>
      <c r="I1111" s="262"/>
      <c r="J1111" s="262"/>
    </row>
    <row r="1112" spans="2:10">
      <c r="B1112" s="678" t="s">
        <v>1018</v>
      </c>
      <c r="C1112" s="679"/>
      <c r="D1112" s="679"/>
      <c r="E1112" s="680"/>
      <c r="F1112" s="681">
        <f>$J$10</f>
        <v>0.91500000000000004</v>
      </c>
      <c r="G1112" s="272">
        <f>J1084</f>
        <v>9.6999999999999993</v>
      </c>
      <c r="H1112" s="262"/>
      <c r="I1112" s="262"/>
      <c r="J1112" s="262"/>
    </row>
    <row r="1113" spans="2:10">
      <c r="B1113" s="678" t="s">
        <v>1019</v>
      </c>
      <c r="C1113" s="679"/>
      <c r="D1113" s="679"/>
      <c r="E1113" s="680"/>
      <c r="F1113" s="695"/>
      <c r="G1113" s="272">
        <f>J1100</f>
        <v>15.16</v>
      </c>
      <c r="H1113" s="262"/>
      <c r="I1113" s="262"/>
      <c r="J1113" s="262"/>
    </row>
    <row r="1114" spans="2:10">
      <c r="B1114" s="678" t="s">
        <v>1020</v>
      </c>
      <c r="C1114" s="679"/>
      <c r="D1114" s="679"/>
      <c r="E1114" s="680"/>
      <c r="F1114" s="695"/>
      <c r="G1114" s="272">
        <f>J1108</f>
        <v>0</v>
      </c>
      <c r="H1114" s="262"/>
      <c r="I1114" s="262"/>
      <c r="J1114" s="262"/>
    </row>
    <row r="1115" spans="2:10">
      <c r="B1115" s="678" t="s">
        <v>1021</v>
      </c>
      <c r="C1115" s="679"/>
      <c r="D1115" s="679"/>
      <c r="E1115" s="680"/>
      <c r="F1115" s="695"/>
      <c r="G1115" s="272">
        <v>1</v>
      </c>
      <c r="H1115" s="262"/>
      <c r="I1115" s="262"/>
      <c r="J1115" s="262"/>
    </row>
    <row r="1116" spans="2:10">
      <c r="B1116" s="678" t="s">
        <v>1022</v>
      </c>
      <c r="C1116" s="679"/>
      <c r="D1116" s="679"/>
      <c r="E1116" s="680"/>
      <c r="F1116" s="695"/>
      <c r="G1116" s="272">
        <f>G1112+G1114</f>
        <v>9.6999999999999993</v>
      </c>
      <c r="H1116" s="262"/>
      <c r="I1116" s="262"/>
      <c r="J1116" s="262"/>
    </row>
    <row r="1117" spans="2:10">
      <c r="B1117" s="678" t="s">
        <v>1023</v>
      </c>
      <c r="C1117" s="679"/>
      <c r="D1117" s="679"/>
      <c r="E1117" s="680"/>
      <c r="F1117" s="695"/>
      <c r="G1117" s="272">
        <f>G1116/G1115</f>
        <v>9.6999999999999993</v>
      </c>
      <c r="H1117" s="262"/>
      <c r="I1117" s="262"/>
      <c r="J1117" s="262"/>
    </row>
    <row r="1118" spans="2:10">
      <c r="B1118" s="678" t="s">
        <v>1024</v>
      </c>
      <c r="C1118" s="679"/>
      <c r="D1118" s="679"/>
      <c r="E1118" s="680"/>
      <c r="F1118" s="682"/>
      <c r="G1118" s="272">
        <f>G1113+G1117</f>
        <v>24.86</v>
      </c>
      <c r="H1118" s="262"/>
      <c r="I1118" s="262"/>
      <c r="J1118" s="262"/>
    </row>
    <row r="1119" spans="2:10">
      <c r="B1119" s="678" t="s">
        <v>1025</v>
      </c>
      <c r="C1119" s="679"/>
      <c r="D1119" s="679"/>
      <c r="E1119" s="680"/>
      <c r="F1119" s="681">
        <f>$I$11</f>
        <v>0.28220000000000001</v>
      </c>
      <c r="G1119" s="272">
        <f>G1118*F1119</f>
        <v>7.0154920000000001</v>
      </c>
      <c r="H1119" s="262"/>
      <c r="I1119" s="262"/>
      <c r="J1119" s="262"/>
    </row>
    <row r="1120" spans="2:10">
      <c r="B1120" s="683" t="s">
        <v>1026</v>
      </c>
      <c r="C1120" s="684"/>
      <c r="D1120" s="684"/>
      <c r="E1120" s="685"/>
      <c r="F1120" s="682"/>
      <c r="G1120" s="273">
        <f>ROUND(SUM(G1118+G1119),2)</f>
        <v>31.88</v>
      </c>
      <c r="H1120" s="262"/>
      <c r="I1120" s="262"/>
      <c r="J1120" s="307"/>
    </row>
    <row r="1121" spans="2:10" ht="15.75" thickBot="1"/>
    <row r="1122" spans="2:10" ht="15.75" thickBot="1">
      <c r="B1122" s="696" t="s">
        <v>990</v>
      </c>
      <c r="C1122" s="697"/>
      <c r="D1122" s="697"/>
      <c r="E1122" s="697"/>
      <c r="F1122" s="697"/>
      <c r="G1122" s="697"/>
      <c r="H1122" s="697"/>
      <c r="I1122" s="697"/>
      <c r="J1122" s="698"/>
    </row>
    <row r="1123" spans="2:10">
      <c r="B1123" s="699" t="s">
        <v>7</v>
      </c>
      <c r="C1123" s="699"/>
      <c r="D1123" s="699"/>
      <c r="E1123" s="699"/>
      <c r="F1123" s="699"/>
      <c r="G1123" s="699"/>
      <c r="H1123" s="699"/>
      <c r="I1123" s="699"/>
      <c r="J1123" s="699"/>
    </row>
    <row r="1124" spans="2:10" ht="15.75" thickBot="1">
      <c r="B1124" s="699" t="s">
        <v>8</v>
      </c>
      <c r="C1124" s="699"/>
      <c r="D1124" s="699"/>
      <c r="E1124" s="699"/>
      <c r="F1124" s="699"/>
      <c r="G1124" s="699"/>
      <c r="H1124" s="699"/>
      <c r="I1124" s="699"/>
      <c r="J1124" s="699"/>
    </row>
    <row r="1125" spans="2:10">
      <c r="B1125" s="700" t="s">
        <v>991</v>
      </c>
      <c r="C1125" s="249" t="s">
        <v>992</v>
      </c>
      <c r="D1125" s="250">
        <v>6</v>
      </c>
      <c r="E1125" s="251" t="s">
        <v>993</v>
      </c>
      <c r="F1125" s="252">
        <v>2017</v>
      </c>
      <c r="G1125" s="253"/>
      <c r="H1125" s="253"/>
      <c r="I1125" s="251" t="s">
        <v>994</v>
      </c>
      <c r="J1125" s="306"/>
    </row>
    <row r="1126" spans="2:10">
      <c r="B1126" s="701"/>
      <c r="C1126" s="255" t="s">
        <v>995</v>
      </c>
      <c r="D1126" s="703" t="s">
        <v>1162</v>
      </c>
      <c r="E1126" s="704"/>
      <c r="F1126" s="256"/>
      <c r="G1126" s="256"/>
      <c r="H1126" s="256"/>
      <c r="I1126" s="256"/>
      <c r="J1126" s="257"/>
    </row>
    <row r="1127" spans="2:10" ht="32.25" customHeight="1">
      <c r="B1127" s="701"/>
      <c r="C1127" s="255" t="s">
        <v>997</v>
      </c>
      <c r="D1127" s="705" t="s">
        <v>1161</v>
      </c>
      <c r="E1127" s="705"/>
      <c r="F1127" s="705"/>
      <c r="G1127" s="705"/>
      <c r="H1127" s="705"/>
      <c r="I1127" s="705"/>
      <c r="J1127" s="706"/>
    </row>
    <row r="1128" spans="2:10" ht="15.75" thickBot="1">
      <c r="B1128" s="702"/>
      <c r="C1128" s="258" t="s">
        <v>999</v>
      </c>
      <c r="D1128" s="308" t="s">
        <v>1163</v>
      </c>
      <c r="E1128" s="260"/>
      <c r="F1128" s="260"/>
      <c r="G1128" s="260"/>
      <c r="H1128" s="260"/>
      <c r="I1128" s="260"/>
      <c r="J1128" s="261"/>
    </row>
    <row r="1129" spans="2:10">
      <c r="B1129" s="262"/>
      <c r="C1129" s="262"/>
      <c r="D1129" s="262"/>
      <c r="E1129" s="262"/>
      <c r="F1129" s="262"/>
      <c r="G1129" s="262"/>
      <c r="H1129" s="262"/>
      <c r="I1129" s="262"/>
      <c r="J1129" s="262"/>
    </row>
    <row r="1130" spans="2:10" ht="30">
      <c r="B1130" s="263" t="s">
        <v>1001</v>
      </c>
      <c r="C1130" s="264" t="s">
        <v>1002</v>
      </c>
      <c r="D1130" s="264" t="s">
        <v>1003</v>
      </c>
      <c r="E1130" s="265" t="s">
        <v>1004</v>
      </c>
      <c r="F1130" s="265" t="s">
        <v>1005</v>
      </c>
      <c r="G1130" s="265" t="s">
        <v>1006</v>
      </c>
      <c r="H1130" s="265" t="s">
        <v>1007</v>
      </c>
      <c r="I1130" s="265" t="s">
        <v>1008</v>
      </c>
      <c r="J1130" s="265" t="s">
        <v>1009</v>
      </c>
    </row>
    <row r="1131" spans="2:10">
      <c r="B1131" s="295" t="s">
        <v>927</v>
      </c>
      <c r="C1131" s="296" t="s">
        <v>897</v>
      </c>
      <c r="D1131" s="267">
        <v>88247</v>
      </c>
      <c r="E1131" s="268">
        <v>3.49</v>
      </c>
      <c r="F1131" s="268"/>
      <c r="G1131" s="302">
        <v>8.9295039164490859</v>
      </c>
      <c r="H1131" s="268">
        <v>0</v>
      </c>
      <c r="I1131" s="268">
        <f t="shared" ref="I1131:I1132" si="26">ROUND(G1131*(1+$J$10),2)</f>
        <v>17.100000000000001</v>
      </c>
      <c r="J1131" s="269">
        <f>I1131*E1131</f>
        <v>59.679000000000009</v>
      </c>
    </row>
    <row r="1132" spans="2:10">
      <c r="B1132" s="295" t="s">
        <v>928</v>
      </c>
      <c r="C1132" s="267" t="s">
        <v>897</v>
      </c>
      <c r="D1132" s="267">
        <v>88264</v>
      </c>
      <c r="E1132" s="268">
        <v>3.49</v>
      </c>
      <c r="F1132" s="268"/>
      <c r="G1132" s="302">
        <v>11.091383812010443</v>
      </c>
      <c r="H1132" s="268">
        <v>0</v>
      </c>
      <c r="I1132" s="268">
        <f t="shared" si="26"/>
        <v>21.24</v>
      </c>
      <c r="J1132" s="269">
        <f>I1132*E1132</f>
        <v>74.127600000000001</v>
      </c>
    </row>
    <row r="1133" spans="2:10">
      <c r="B1133" s="266"/>
      <c r="C1133" s="267"/>
      <c r="D1133" s="267"/>
      <c r="E1133" s="268"/>
      <c r="F1133" s="268"/>
      <c r="G1133" s="268"/>
      <c r="H1133" s="268"/>
      <c r="I1133" s="268"/>
      <c r="J1133" s="269"/>
    </row>
    <row r="1134" spans="2:10">
      <c r="B1134" s="266"/>
      <c r="C1134" s="267"/>
      <c r="D1134" s="267"/>
      <c r="E1134" s="268"/>
      <c r="F1134" s="268"/>
      <c r="G1134" s="268"/>
      <c r="H1134" s="268"/>
      <c r="I1134" s="268"/>
      <c r="J1134" s="269"/>
    </row>
    <row r="1135" spans="2:10">
      <c r="B1135" s="266"/>
      <c r="C1135" s="267"/>
      <c r="D1135" s="267"/>
      <c r="E1135" s="268"/>
      <c r="F1135" s="268"/>
      <c r="G1135" s="268"/>
      <c r="H1135" s="268"/>
      <c r="I1135" s="268"/>
      <c r="J1135" s="269"/>
    </row>
    <row r="1136" spans="2:10">
      <c r="B1136" s="266"/>
      <c r="C1136" s="266"/>
      <c r="D1136" s="267"/>
      <c r="E1136" s="267"/>
      <c r="F1136" s="268"/>
      <c r="G1136" s="268"/>
      <c r="H1136" s="268"/>
      <c r="I1136" s="268"/>
      <c r="J1136" s="269"/>
    </row>
    <row r="1137" spans="2:10">
      <c r="B1137" s="686" t="s">
        <v>1011</v>
      </c>
      <c r="C1137" s="687"/>
      <c r="D1137" s="687"/>
      <c r="E1137" s="687"/>
      <c r="F1137" s="687"/>
      <c r="G1137" s="687"/>
      <c r="H1137" s="687"/>
      <c r="I1137" s="688"/>
      <c r="J1137" s="270">
        <f>ROUND(SUM(J1131:J1136),2)</f>
        <v>133.81</v>
      </c>
    </row>
    <row r="1138" spans="2:10">
      <c r="B1138" s="689"/>
      <c r="C1138" s="689"/>
      <c r="D1138" s="689"/>
      <c r="E1138" s="689"/>
      <c r="F1138" s="689"/>
      <c r="G1138" s="689"/>
      <c r="H1138" s="689"/>
      <c r="I1138" s="689"/>
      <c r="J1138" s="689"/>
    </row>
    <row r="1139" spans="2:10" ht="30">
      <c r="B1139" s="263" t="s">
        <v>1012</v>
      </c>
      <c r="C1139" s="264" t="s">
        <v>1002</v>
      </c>
      <c r="D1139" s="264" t="s">
        <v>1072</v>
      </c>
      <c r="E1139" s="265" t="s">
        <v>1004</v>
      </c>
      <c r="F1139" s="265" t="s">
        <v>1005</v>
      </c>
      <c r="G1139" s="265" t="s">
        <v>1006</v>
      </c>
      <c r="H1139" s="265" t="s">
        <v>1007</v>
      </c>
      <c r="I1139" s="265" t="s">
        <v>1008</v>
      </c>
      <c r="J1139" s="265" t="s">
        <v>1009</v>
      </c>
    </row>
    <row r="1140" spans="2:10">
      <c r="B1140" s="295" t="s">
        <v>1166</v>
      </c>
      <c r="C1140" s="296" t="s">
        <v>698</v>
      </c>
      <c r="D1140" s="267">
        <v>2674</v>
      </c>
      <c r="E1140" s="268">
        <v>5.5</v>
      </c>
      <c r="F1140" s="268"/>
      <c r="G1140" s="309">
        <v>2.5099999999999998</v>
      </c>
      <c r="H1140" s="268">
        <v>0</v>
      </c>
      <c r="I1140" s="268">
        <f>G1140</f>
        <v>2.5099999999999998</v>
      </c>
      <c r="J1140" s="269">
        <f>I1140*E1140</f>
        <v>13.805</v>
      </c>
    </row>
    <row r="1141" spans="2:10" ht="60">
      <c r="B1141" s="295" t="s">
        <v>1167</v>
      </c>
      <c r="C1141" s="296" t="s">
        <v>1163</v>
      </c>
      <c r="D1141" s="267">
        <v>1022</v>
      </c>
      <c r="E1141" s="268">
        <v>12.24</v>
      </c>
      <c r="F1141" s="268"/>
      <c r="G1141" s="268">
        <v>1.45</v>
      </c>
      <c r="H1141" s="268">
        <v>0</v>
      </c>
      <c r="I1141" s="268">
        <f>G1141</f>
        <v>1.45</v>
      </c>
      <c r="J1141" s="269">
        <f>I1141*E1141</f>
        <v>17.748000000000001</v>
      </c>
    </row>
    <row r="1142" spans="2:10">
      <c r="B1142" s="295" t="s">
        <v>1168</v>
      </c>
      <c r="C1142" s="296" t="s">
        <v>1163</v>
      </c>
      <c r="D1142" s="267">
        <v>2556</v>
      </c>
      <c r="E1142" s="268">
        <v>1</v>
      </c>
      <c r="F1142" s="268"/>
      <c r="G1142" s="268">
        <v>0.76</v>
      </c>
      <c r="H1142" s="268">
        <v>0</v>
      </c>
      <c r="I1142" s="268">
        <f t="shared" ref="I1142:I1145" si="27">G1142</f>
        <v>0.76</v>
      </c>
      <c r="J1142" s="269">
        <f t="shared" ref="J1142:J1145" si="28">I1142*E1142</f>
        <v>0.76</v>
      </c>
    </row>
    <row r="1143" spans="2:10" ht="30">
      <c r="B1143" s="295" t="s">
        <v>1169</v>
      </c>
      <c r="C1143" s="296" t="s">
        <v>1163</v>
      </c>
      <c r="D1143" s="296">
        <v>46636</v>
      </c>
      <c r="E1143" s="268">
        <v>1</v>
      </c>
      <c r="F1143" s="268"/>
      <c r="G1143" s="268">
        <v>35.770000000000003</v>
      </c>
      <c r="H1143" s="268">
        <v>0</v>
      </c>
      <c r="I1143" s="268">
        <f t="shared" si="27"/>
        <v>35.770000000000003</v>
      </c>
      <c r="J1143" s="269">
        <f t="shared" si="28"/>
        <v>35.770000000000003</v>
      </c>
    </row>
    <row r="1144" spans="2:10">
      <c r="B1144" s="295" t="s">
        <v>1170</v>
      </c>
      <c r="C1144" s="296" t="s">
        <v>1163</v>
      </c>
      <c r="D1144" s="267">
        <v>48502</v>
      </c>
      <c r="E1144" s="268">
        <v>2</v>
      </c>
      <c r="F1144" s="268">
        <v>1</v>
      </c>
      <c r="G1144" s="268">
        <v>0.52</v>
      </c>
      <c r="H1144" s="268">
        <v>0</v>
      </c>
      <c r="I1144" s="268">
        <f t="shared" si="27"/>
        <v>0.52</v>
      </c>
      <c r="J1144" s="269">
        <f t="shared" si="28"/>
        <v>1.04</v>
      </c>
    </row>
    <row r="1145" spans="2:10">
      <c r="B1145" s="266" t="s">
        <v>1171</v>
      </c>
      <c r="C1145" s="296" t="s">
        <v>1163</v>
      </c>
      <c r="D1145" s="267">
        <v>48516</v>
      </c>
      <c r="E1145" s="268">
        <v>2</v>
      </c>
      <c r="F1145" s="268">
        <v>1</v>
      </c>
      <c r="G1145" s="268">
        <v>0.32</v>
      </c>
      <c r="H1145" s="268">
        <v>0</v>
      </c>
      <c r="I1145" s="268">
        <f t="shared" si="27"/>
        <v>0.32</v>
      </c>
      <c r="J1145" s="269">
        <f t="shared" si="28"/>
        <v>0.64</v>
      </c>
    </row>
    <row r="1146" spans="2:10">
      <c r="B1146" s="266"/>
      <c r="C1146" s="266"/>
      <c r="D1146" s="267"/>
      <c r="E1146" s="267"/>
      <c r="F1146" s="268"/>
      <c r="G1146" s="268"/>
      <c r="H1146" s="268"/>
      <c r="I1146" s="268"/>
      <c r="J1146" s="269"/>
    </row>
    <row r="1147" spans="2:10">
      <c r="B1147" s="266"/>
      <c r="C1147" s="266"/>
      <c r="D1147" s="267"/>
      <c r="E1147" s="267"/>
      <c r="F1147" s="268"/>
      <c r="G1147" s="268"/>
      <c r="H1147" s="268"/>
      <c r="I1147" s="268"/>
      <c r="J1147" s="269"/>
    </row>
    <row r="1148" spans="2:10">
      <c r="B1148" s="266"/>
      <c r="C1148" s="266"/>
      <c r="D1148" s="267"/>
      <c r="E1148" s="267"/>
      <c r="F1148" s="268"/>
      <c r="G1148" s="268"/>
      <c r="H1148" s="268"/>
      <c r="I1148" s="268"/>
      <c r="J1148" s="269"/>
    </row>
    <row r="1149" spans="2:10">
      <c r="B1149" s="266"/>
      <c r="C1149" s="266"/>
      <c r="D1149" s="267"/>
      <c r="E1149" s="267"/>
      <c r="F1149" s="268"/>
      <c r="G1149" s="268"/>
      <c r="H1149" s="268"/>
      <c r="I1149" s="268"/>
      <c r="J1149" s="269"/>
    </row>
    <row r="1150" spans="2:10">
      <c r="B1150" s="266"/>
      <c r="C1150" s="266"/>
      <c r="D1150" s="267"/>
      <c r="E1150" s="267"/>
      <c r="F1150" s="268"/>
      <c r="G1150" s="268"/>
      <c r="H1150" s="268"/>
      <c r="I1150" s="268"/>
      <c r="J1150" s="269"/>
    </row>
    <row r="1151" spans="2:10">
      <c r="B1151" s="266"/>
      <c r="C1151" s="266"/>
      <c r="D1151" s="267"/>
      <c r="E1151" s="267"/>
      <c r="F1151" s="268"/>
      <c r="G1151" s="268"/>
      <c r="H1151" s="268"/>
      <c r="I1151" s="268"/>
      <c r="J1151" s="269"/>
    </row>
    <row r="1152" spans="2:10">
      <c r="B1152" s="686" t="s">
        <v>1011</v>
      </c>
      <c r="C1152" s="687"/>
      <c r="D1152" s="687"/>
      <c r="E1152" s="687"/>
      <c r="F1152" s="687"/>
      <c r="G1152" s="687"/>
      <c r="H1152" s="687"/>
      <c r="I1152" s="688"/>
      <c r="J1152" s="270">
        <f>ROUND(SUM(J1140:J1151),2)</f>
        <v>69.760000000000005</v>
      </c>
    </row>
    <row r="1153" spans="2:10">
      <c r="B1153" s="690"/>
      <c r="C1153" s="690"/>
      <c r="D1153" s="690"/>
      <c r="E1153" s="690"/>
      <c r="F1153" s="690"/>
      <c r="G1153" s="690"/>
      <c r="H1153" s="690"/>
      <c r="I1153" s="690"/>
      <c r="J1153" s="690"/>
    </row>
    <row r="1154" spans="2:10" ht="30">
      <c r="B1154" s="263" t="s">
        <v>1013</v>
      </c>
      <c r="C1154" s="264" t="s">
        <v>1002</v>
      </c>
      <c r="D1154" s="264" t="s">
        <v>1003</v>
      </c>
      <c r="E1154" s="265" t="s">
        <v>1004</v>
      </c>
      <c r="F1154" s="265" t="s">
        <v>1005</v>
      </c>
      <c r="G1154" s="265" t="s">
        <v>1006</v>
      </c>
      <c r="H1154" s="265" t="s">
        <v>1007</v>
      </c>
      <c r="I1154" s="265" t="s">
        <v>1008</v>
      </c>
      <c r="J1154" s="265" t="s">
        <v>1009</v>
      </c>
    </row>
    <row r="1155" spans="2:10">
      <c r="B1155" s="266"/>
      <c r="C1155" s="267"/>
      <c r="D1155" s="267"/>
      <c r="E1155" s="268"/>
      <c r="F1155" s="268"/>
      <c r="G1155" s="268"/>
      <c r="H1155" s="268"/>
      <c r="I1155" s="268"/>
      <c r="J1155" s="271"/>
    </row>
    <row r="1156" spans="2:10">
      <c r="B1156" s="266"/>
      <c r="C1156" s="267"/>
      <c r="D1156" s="267"/>
      <c r="E1156" s="268"/>
      <c r="F1156" s="268"/>
      <c r="G1156" s="268"/>
      <c r="H1156" s="268"/>
      <c r="I1156" s="268"/>
      <c r="J1156" s="271"/>
    </row>
    <row r="1157" spans="2:10">
      <c r="B1157" s="266"/>
      <c r="C1157" s="267"/>
      <c r="D1157" s="267"/>
      <c r="E1157" s="268"/>
      <c r="F1157" s="268"/>
      <c r="G1157" s="268"/>
      <c r="H1157" s="268"/>
      <c r="I1157" s="268"/>
      <c r="J1157" s="271"/>
    </row>
    <row r="1158" spans="2:10">
      <c r="B1158" s="266"/>
      <c r="C1158" s="267"/>
      <c r="D1158" s="267"/>
      <c r="E1158" s="268"/>
      <c r="F1158" s="268"/>
      <c r="G1158" s="268"/>
      <c r="H1158" s="268"/>
      <c r="I1158" s="268"/>
      <c r="J1158" s="271"/>
    </row>
    <row r="1159" spans="2:10">
      <c r="B1159" s="266"/>
      <c r="C1159" s="266"/>
      <c r="D1159" s="267"/>
      <c r="E1159" s="267"/>
      <c r="F1159" s="268"/>
      <c r="G1159" s="268"/>
      <c r="H1159" s="268"/>
      <c r="I1159" s="268"/>
      <c r="J1159" s="271"/>
    </row>
    <row r="1160" spans="2:10">
      <c r="B1160" s="686" t="s">
        <v>1011</v>
      </c>
      <c r="C1160" s="687"/>
      <c r="D1160" s="687"/>
      <c r="E1160" s="687"/>
      <c r="F1160" s="687"/>
      <c r="G1160" s="687"/>
      <c r="H1160" s="687"/>
      <c r="I1160" s="688"/>
      <c r="J1160" s="270">
        <f>ROUND(SUM(J1155:J1159),2)</f>
        <v>0</v>
      </c>
    </row>
    <row r="1161" spans="2:10">
      <c r="B1161" s="262"/>
      <c r="C1161" s="262"/>
      <c r="D1161" s="262"/>
      <c r="E1161" s="262"/>
      <c r="F1161" s="262"/>
      <c r="G1161" s="262"/>
      <c r="H1161" s="262"/>
      <c r="I1161" s="262"/>
      <c r="J1161" s="262"/>
    </row>
    <row r="1162" spans="2:10">
      <c r="B1162" s="691" t="s">
        <v>1014</v>
      </c>
      <c r="C1162" s="691"/>
      <c r="D1162" s="691"/>
      <c r="E1162" s="691"/>
      <c r="F1162" s="691"/>
      <c r="G1162" s="691"/>
      <c r="H1162" s="262"/>
      <c r="I1162" s="262"/>
      <c r="J1162" s="262"/>
    </row>
    <row r="1163" spans="2:10">
      <c r="B1163" s="692" t="s">
        <v>1015</v>
      </c>
      <c r="C1163" s="693"/>
      <c r="D1163" s="693"/>
      <c r="E1163" s="694"/>
      <c r="F1163" s="265" t="s">
        <v>1016</v>
      </c>
      <c r="G1163" s="265" t="s">
        <v>1017</v>
      </c>
      <c r="H1163" s="262"/>
      <c r="I1163" s="262"/>
      <c r="J1163" s="262"/>
    </row>
    <row r="1164" spans="2:10">
      <c r="B1164" s="678" t="s">
        <v>1018</v>
      </c>
      <c r="C1164" s="679"/>
      <c r="D1164" s="679"/>
      <c r="E1164" s="680"/>
      <c r="F1164" s="681">
        <f>$J$10</f>
        <v>0.91500000000000004</v>
      </c>
      <c r="G1164" s="272">
        <f>J1137</f>
        <v>133.81</v>
      </c>
      <c r="H1164" s="262"/>
      <c r="I1164" s="262"/>
      <c r="J1164" s="262"/>
    </row>
    <row r="1165" spans="2:10">
      <c r="B1165" s="678" t="s">
        <v>1019</v>
      </c>
      <c r="C1165" s="679"/>
      <c r="D1165" s="679"/>
      <c r="E1165" s="680"/>
      <c r="F1165" s="695"/>
      <c r="G1165" s="272">
        <f>J1152</f>
        <v>69.760000000000005</v>
      </c>
      <c r="H1165" s="262"/>
      <c r="I1165" s="262"/>
      <c r="J1165" s="262"/>
    </row>
    <row r="1166" spans="2:10">
      <c r="B1166" s="678" t="s">
        <v>1020</v>
      </c>
      <c r="C1166" s="679"/>
      <c r="D1166" s="679"/>
      <c r="E1166" s="680"/>
      <c r="F1166" s="695"/>
      <c r="G1166" s="272">
        <f>J1160</f>
        <v>0</v>
      </c>
      <c r="H1166" s="262"/>
      <c r="I1166" s="262"/>
      <c r="J1166" s="262"/>
    </row>
    <row r="1167" spans="2:10">
      <c r="B1167" s="678" t="s">
        <v>1021</v>
      </c>
      <c r="C1167" s="679"/>
      <c r="D1167" s="679"/>
      <c r="E1167" s="680"/>
      <c r="F1167" s="695"/>
      <c r="G1167" s="272">
        <v>1</v>
      </c>
      <c r="H1167" s="262"/>
      <c r="I1167" s="262"/>
      <c r="J1167" s="262"/>
    </row>
    <row r="1168" spans="2:10">
      <c r="B1168" s="678" t="s">
        <v>1022</v>
      </c>
      <c r="C1168" s="679"/>
      <c r="D1168" s="679"/>
      <c r="E1168" s="680"/>
      <c r="F1168" s="695"/>
      <c r="G1168" s="272">
        <f>G1164+G1166</f>
        <v>133.81</v>
      </c>
      <c r="H1168" s="262"/>
      <c r="I1168" s="262"/>
      <c r="J1168" s="262"/>
    </row>
    <row r="1169" spans="2:10">
      <c r="B1169" s="678" t="s">
        <v>1023</v>
      </c>
      <c r="C1169" s="679"/>
      <c r="D1169" s="679"/>
      <c r="E1169" s="680"/>
      <c r="F1169" s="695"/>
      <c r="G1169" s="272">
        <f>G1168/G1167</f>
        <v>133.81</v>
      </c>
      <c r="H1169" s="262"/>
      <c r="I1169" s="262"/>
      <c r="J1169" s="262"/>
    </row>
    <row r="1170" spans="2:10">
      <c r="B1170" s="678" t="s">
        <v>1024</v>
      </c>
      <c r="C1170" s="679"/>
      <c r="D1170" s="679"/>
      <c r="E1170" s="680"/>
      <c r="F1170" s="682"/>
      <c r="G1170" s="272">
        <f>G1165+G1169</f>
        <v>203.57</v>
      </c>
      <c r="H1170" s="262"/>
      <c r="I1170" s="262"/>
      <c r="J1170" s="262"/>
    </row>
    <row r="1171" spans="2:10">
      <c r="B1171" s="678" t="s">
        <v>1025</v>
      </c>
      <c r="C1171" s="679"/>
      <c r="D1171" s="679"/>
      <c r="E1171" s="680"/>
      <c r="F1171" s="681">
        <f>$I$11</f>
        <v>0.28220000000000001</v>
      </c>
      <c r="G1171" s="272">
        <f>G1170*F1171</f>
        <v>57.447454</v>
      </c>
      <c r="H1171" s="262"/>
      <c r="I1171" s="262"/>
      <c r="J1171" s="262"/>
    </row>
    <row r="1172" spans="2:10">
      <c r="B1172" s="683" t="s">
        <v>1026</v>
      </c>
      <c r="C1172" s="684"/>
      <c r="D1172" s="684"/>
      <c r="E1172" s="685"/>
      <c r="F1172" s="682"/>
      <c r="G1172" s="273">
        <f>ROUND(SUM(G1170+G1171),2)</f>
        <v>261.02</v>
      </c>
      <c r="H1172" s="262"/>
      <c r="I1172" s="262"/>
      <c r="J1172" s="307"/>
    </row>
    <row r="1173" spans="2:10" ht="15.75" thickBot="1"/>
    <row r="1174" spans="2:10" ht="15.75" thickBot="1">
      <c r="B1174" s="696" t="s">
        <v>990</v>
      </c>
      <c r="C1174" s="697"/>
      <c r="D1174" s="697"/>
      <c r="E1174" s="697"/>
      <c r="F1174" s="697"/>
      <c r="G1174" s="697"/>
      <c r="H1174" s="697"/>
      <c r="I1174" s="697"/>
      <c r="J1174" s="698"/>
    </row>
    <row r="1175" spans="2:10">
      <c r="B1175" s="699" t="s">
        <v>7</v>
      </c>
      <c r="C1175" s="699"/>
      <c r="D1175" s="699"/>
      <c r="E1175" s="699"/>
      <c r="F1175" s="699"/>
      <c r="G1175" s="699"/>
      <c r="H1175" s="699"/>
      <c r="I1175" s="699"/>
      <c r="J1175" s="699"/>
    </row>
    <row r="1176" spans="2:10" ht="15.75" thickBot="1">
      <c r="B1176" s="699" t="s">
        <v>8</v>
      </c>
      <c r="C1176" s="699"/>
      <c r="D1176" s="699"/>
      <c r="E1176" s="699"/>
      <c r="F1176" s="699"/>
      <c r="G1176" s="699"/>
      <c r="H1176" s="699"/>
      <c r="I1176" s="699"/>
      <c r="J1176" s="699"/>
    </row>
    <row r="1177" spans="2:10">
      <c r="B1177" s="700" t="s">
        <v>991</v>
      </c>
      <c r="C1177" s="249" t="s">
        <v>992</v>
      </c>
      <c r="D1177" s="250">
        <v>6</v>
      </c>
      <c r="E1177" s="251" t="s">
        <v>993</v>
      </c>
      <c r="F1177" s="252">
        <v>2017</v>
      </c>
      <c r="G1177" s="253"/>
      <c r="H1177" s="253"/>
      <c r="I1177" s="251" t="s">
        <v>994</v>
      </c>
      <c r="J1177" s="306"/>
    </row>
    <row r="1178" spans="2:10">
      <c r="B1178" s="701"/>
      <c r="C1178" s="255" t="s">
        <v>995</v>
      </c>
      <c r="D1178" s="369" t="s">
        <v>1268</v>
      </c>
      <c r="E1178" s="370"/>
      <c r="F1178" s="371"/>
      <c r="G1178" s="256"/>
      <c r="H1178" s="256"/>
      <c r="I1178" s="256"/>
      <c r="J1178" s="257"/>
    </row>
    <row r="1179" spans="2:10" ht="15.75">
      <c r="B1179" s="701"/>
      <c r="C1179" s="255" t="s">
        <v>997</v>
      </c>
      <c r="D1179" s="705" t="s">
        <v>1269</v>
      </c>
      <c r="E1179" s="705"/>
      <c r="F1179" s="705"/>
      <c r="G1179" s="705"/>
      <c r="H1179" s="705"/>
      <c r="I1179" s="705"/>
      <c r="J1179" s="706"/>
    </row>
    <row r="1180" spans="2:10" ht="15.75" thickBot="1">
      <c r="B1180" s="702"/>
      <c r="C1180" s="258" t="s">
        <v>999</v>
      </c>
      <c r="D1180" s="308" t="s">
        <v>543</v>
      </c>
      <c r="E1180" s="260"/>
      <c r="F1180" s="260"/>
      <c r="G1180" s="260"/>
      <c r="H1180" s="260"/>
      <c r="I1180" s="260"/>
      <c r="J1180" s="261"/>
    </row>
    <row r="1181" spans="2:10">
      <c r="B1181" s="262"/>
      <c r="C1181" s="262"/>
      <c r="D1181" s="262"/>
      <c r="E1181" s="262"/>
      <c r="F1181" s="262"/>
      <c r="G1181" s="262"/>
      <c r="H1181" s="262"/>
      <c r="I1181" s="262"/>
      <c r="J1181" s="262"/>
    </row>
    <row r="1182" spans="2:10" ht="30">
      <c r="B1182" s="263" t="s">
        <v>1001</v>
      </c>
      <c r="C1182" s="264" t="s">
        <v>1002</v>
      </c>
      <c r="D1182" s="264" t="s">
        <v>1003</v>
      </c>
      <c r="E1182" s="265" t="s">
        <v>1004</v>
      </c>
      <c r="F1182" s="265" t="s">
        <v>1005</v>
      </c>
      <c r="G1182" s="265" t="s">
        <v>1006</v>
      </c>
      <c r="H1182" s="265" t="s">
        <v>1007</v>
      </c>
      <c r="I1182" s="265" t="s">
        <v>1008</v>
      </c>
      <c r="J1182" s="265" t="s">
        <v>1009</v>
      </c>
    </row>
    <row r="1183" spans="2:10">
      <c r="B1183" s="295" t="s">
        <v>1102</v>
      </c>
      <c r="C1183" s="267" t="s">
        <v>897</v>
      </c>
      <c r="D1183" s="267">
        <v>88316</v>
      </c>
      <c r="E1183" s="268">
        <v>0.5</v>
      </c>
      <c r="F1183" s="268">
        <v>1</v>
      </c>
      <c r="G1183" s="268">
        <v>7.16</v>
      </c>
      <c r="H1183" s="268">
        <v>0</v>
      </c>
      <c r="I1183" s="268">
        <f t="shared" ref="I1183" si="29">ROUND(G1183*(1+$J$10),2)</f>
        <v>13.71</v>
      </c>
      <c r="J1183" s="269">
        <f>I1183*E1183</f>
        <v>6.8550000000000004</v>
      </c>
    </row>
    <row r="1184" spans="2:10">
      <c r="B1184" s="295"/>
      <c r="C1184" s="267"/>
      <c r="D1184" s="267"/>
      <c r="E1184" s="268"/>
      <c r="F1184" s="268"/>
      <c r="G1184" s="302"/>
      <c r="H1184" s="268">
        <v>0</v>
      </c>
      <c r="I1184" s="268">
        <f t="shared" ref="I1184" si="30">ROUND(G1184*(1+$J$10),2)</f>
        <v>0</v>
      </c>
      <c r="J1184" s="269">
        <f>I1184*E1184</f>
        <v>0</v>
      </c>
    </row>
    <row r="1185" spans="2:10">
      <c r="B1185" s="266"/>
      <c r="C1185" s="267"/>
      <c r="D1185" s="267"/>
      <c r="E1185" s="268"/>
      <c r="F1185" s="268"/>
      <c r="G1185" s="268"/>
      <c r="H1185" s="268"/>
      <c r="I1185" s="268"/>
      <c r="J1185" s="269"/>
    </row>
    <row r="1186" spans="2:10">
      <c r="B1186" s="266"/>
      <c r="C1186" s="267"/>
      <c r="D1186" s="267"/>
      <c r="E1186" s="268"/>
      <c r="F1186" s="268"/>
      <c r="G1186" s="268"/>
      <c r="H1186" s="268"/>
      <c r="I1186" s="268"/>
      <c r="J1186" s="269"/>
    </row>
    <row r="1187" spans="2:10">
      <c r="B1187" s="266"/>
      <c r="C1187" s="267"/>
      <c r="D1187" s="267"/>
      <c r="E1187" s="268"/>
      <c r="F1187" s="268"/>
      <c r="G1187" s="268"/>
      <c r="H1187" s="268"/>
      <c r="I1187" s="268"/>
      <c r="J1187" s="269"/>
    </row>
    <row r="1188" spans="2:10">
      <c r="B1188" s="266"/>
      <c r="C1188" s="266"/>
      <c r="D1188" s="267"/>
      <c r="E1188" s="267"/>
      <c r="F1188" s="268"/>
      <c r="G1188" s="268"/>
      <c r="H1188" s="268"/>
      <c r="I1188" s="268"/>
      <c r="J1188" s="269"/>
    </row>
    <row r="1189" spans="2:10">
      <c r="B1189" s="686" t="s">
        <v>1011</v>
      </c>
      <c r="C1189" s="687"/>
      <c r="D1189" s="687"/>
      <c r="E1189" s="687"/>
      <c r="F1189" s="687"/>
      <c r="G1189" s="687"/>
      <c r="H1189" s="687"/>
      <c r="I1189" s="688"/>
      <c r="J1189" s="270">
        <f>ROUND(SUM(J1183:J1188),2)</f>
        <v>6.86</v>
      </c>
    </row>
    <row r="1190" spans="2:10">
      <c r="B1190" s="689"/>
      <c r="C1190" s="689"/>
      <c r="D1190" s="689"/>
      <c r="E1190" s="689"/>
      <c r="F1190" s="689"/>
      <c r="G1190" s="689"/>
      <c r="H1190" s="689"/>
      <c r="I1190" s="689"/>
      <c r="J1190" s="689"/>
    </row>
    <row r="1191" spans="2:10" ht="30">
      <c r="B1191" s="263" t="s">
        <v>1012</v>
      </c>
      <c r="C1191" s="264" t="s">
        <v>1002</v>
      </c>
      <c r="D1191" s="264" t="s">
        <v>1072</v>
      </c>
      <c r="E1191" s="265" t="s">
        <v>1004</v>
      </c>
      <c r="F1191" s="265" t="s">
        <v>1005</v>
      </c>
      <c r="G1191" s="265" t="s">
        <v>1006</v>
      </c>
      <c r="H1191" s="265" t="s">
        <v>1007</v>
      </c>
      <c r="I1191" s="265" t="s">
        <v>1008</v>
      </c>
      <c r="J1191" s="265" t="s">
        <v>1009</v>
      </c>
    </row>
    <row r="1192" spans="2:10">
      <c r="B1192" s="295" t="s">
        <v>1260</v>
      </c>
      <c r="C1192" s="296" t="s">
        <v>1261</v>
      </c>
      <c r="D1192" s="267">
        <v>5320</v>
      </c>
      <c r="E1192" s="268">
        <v>0.1</v>
      </c>
      <c r="F1192" s="268">
        <v>1</v>
      </c>
      <c r="G1192" s="309">
        <v>26.35</v>
      </c>
      <c r="H1192" s="268"/>
      <c r="I1192" s="268">
        <f>G1192</f>
        <v>26.35</v>
      </c>
      <c r="J1192" s="269">
        <f>I1192*E1192</f>
        <v>2.6350000000000002</v>
      </c>
    </row>
    <row r="1193" spans="2:10">
      <c r="B1193" s="295"/>
      <c r="C1193" s="296"/>
      <c r="D1193" s="267"/>
      <c r="E1193" s="268"/>
      <c r="F1193" s="268"/>
      <c r="G1193" s="268"/>
      <c r="H1193" s="268"/>
      <c r="I1193" s="268"/>
      <c r="J1193" s="269"/>
    </row>
    <row r="1194" spans="2:10">
      <c r="B1194" s="295"/>
      <c r="C1194" s="296"/>
      <c r="D1194" s="267"/>
      <c r="E1194" s="268"/>
      <c r="F1194" s="268"/>
      <c r="G1194" s="268"/>
      <c r="H1194" s="268"/>
      <c r="I1194" s="268"/>
      <c r="J1194" s="269"/>
    </row>
    <row r="1195" spans="2:10">
      <c r="B1195" s="295"/>
      <c r="C1195" s="296"/>
      <c r="D1195" s="296"/>
      <c r="E1195" s="268"/>
      <c r="F1195" s="268"/>
      <c r="G1195" s="268"/>
      <c r="H1195" s="268"/>
      <c r="I1195" s="268"/>
      <c r="J1195" s="269"/>
    </row>
    <row r="1196" spans="2:10">
      <c r="B1196" s="295"/>
      <c r="C1196" s="296"/>
      <c r="D1196" s="267"/>
      <c r="E1196" s="268"/>
      <c r="F1196" s="268"/>
      <c r="G1196" s="268"/>
      <c r="H1196" s="268"/>
      <c r="I1196" s="268"/>
      <c r="J1196" s="269"/>
    </row>
    <row r="1197" spans="2:10">
      <c r="B1197" s="266"/>
      <c r="C1197" s="296"/>
      <c r="D1197" s="267"/>
      <c r="E1197" s="268"/>
      <c r="F1197" s="268"/>
      <c r="G1197" s="268"/>
      <c r="H1197" s="268"/>
      <c r="I1197" s="268"/>
      <c r="J1197" s="269"/>
    </row>
    <row r="1198" spans="2:10">
      <c r="B1198" s="266"/>
      <c r="C1198" s="266"/>
      <c r="D1198" s="267"/>
      <c r="E1198" s="267"/>
      <c r="F1198" s="268"/>
      <c r="G1198" s="268"/>
      <c r="H1198" s="268"/>
      <c r="I1198" s="268"/>
      <c r="J1198" s="269"/>
    </row>
    <row r="1199" spans="2:10">
      <c r="B1199" s="266"/>
      <c r="C1199" s="266"/>
      <c r="D1199" s="267"/>
      <c r="E1199" s="267"/>
      <c r="F1199" s="268"/>
      <c r="G1199" s="268"/>
      <c r="H1199" s="268"/>
      <c r="I1199" s="268"/>
      <c r="J1199" s="269"/>
    </row>
    <row r="1200" spans="2:10">
      <c r="B1200" s="266"/>
      <c r="C1200" s="266"/>
      <c r="D1200" s="267"/>
      <c r="E1200" s="267"/>
      <c r="F1200" s="268"/>
      <c r="G1200" s="268"/>
      <c r="H1200" s="268"/>
      <c r="I1200" s="268"/>
      <c r="J1200" s="269"/>
    </row>
    <row r="1201" spans="2:10">
      <c r="B1201" s="266"/>
      <c r="C1201" s="266"/>
      <c r="D1201" s="267"/>
      <c r="E1201" s="267"/>
      <c r="F1201" s="268"/>
      <c r="G1201" s="268"/>
      <c r="H1201" s="268"/>
      <c r="I1201" s="268"/>
      <c r="J1201" s="269"/>
    </row>
    <row r="1202" spans="2:10">
      <c r="B1202" s="266"/>
      <c r="C1202" s="266"/>
      <c r="D1202" s="267"/>
      <c r="E1202" s="267"/>
      <c r="F1202" s="268"/>
      <c r="G1202" s="268"/>
      <c r="H1202" s="268"/>
      <c r="I1202" s="268"/>
      <c r="J1202" s="269"/>
    </row>
    <row r="1203" spans="2:10">
      <c r="B1203" s="266"/>
      <c r="C1203" s="266"/>
      <c r="D1203" s="267"/>
      <c r="E1203" s="267"/>
      <c r="F1203" s="268"/>
      <c r="G1203" s="268"/>
      <c r="H1203" s="268"/>
      <c r="I1203" s="268"/>
      <c r="J1203" s="269"/>
    </row>
    <row r="1204" spans="2:10">
      <c r="B1204" s="266"/>
      <c r="C1204" s="266"/>
      <c r="D1204" s="267"/>
      <c r="E1204" s="267"/>
      <c r="F1204" s="268"/>
      <c r="G1204" s="268"/>
      <c r="H1204" s="268"/>
      <c r="I1204" s="268"/>
      <c r="J1204" s="269"/>
    </row>
    <row r="1205" spans="2:10">
      <c r="B1205" s="266"/>
      <c r="C1205" s="266"/>
      <c r="D1205" s="267"/>
      <c r="E1205" s="267"/>
      <c r="F1205" s="268"/>
      <c r="G1205" s="268"/>
      <c r="H1205" s="268"/>
      <c r="I1205" s="268"/>
      <c r="J1205" s="269"/>
    </row>
    <row r="1206" spans="2:10">
      <c r="B1206" s="266"/>
      <c r="C1206" s="266"/>
      <c r="D1206" s="267"/>
      <c r="E1206" s="267"/>
      <c r="F1206" s="268"/>
      <c r="G1206" s="268"/>
      <c r="H1206" s="268"/>
      <c r="I1206" s="268"/>
      <c r="J1206" s="269"/>
    </row>
    <row r="1207" spans="2:10">
      <c r="B1207" s="686" t="s">
        <v>1011</v>
      </c>
      <c r="C1207" s="687"/>
      <c r="D1207" s="687"/>
      <c r="E1207" s="687"/>
      <c r="F1207" s="687"/>
      <c r="G1207" s="687"/>
      <c r="H1207" s="687"/>
      <c r="I1207" s="688"/>
      <c r="J1207" s="270">
        <f>ROUND(SUM(J1192:J1206),2)</f>
        <v>2.64</v>
      </c>
    </row>
    <row r="1208" spans="2:10">
      <c r="B1208" s="690"/>
      <c r="C1208" s="690"/>
      <c r="D1208" s="690"/>
      <c r="E1208" s="690"/>
      <c r="F1208" s="690"/>
      <c r="G1208" s="690"/>
      <c r="H1208" s="690"/>
      <c r="I1208" s="690"/>
      <c r="J1208" s="690"/>
    </row>
    <row r="1209" spans="2:10" ht="30">
      <c r="B1209" s="263" t="s">
        <v>1013</v>
      </c>
      <c r="C1209" s="264" t="s">
        <v>1002</v>
      </c>
      <c r="D1209" s="264" t="s">
        <v>1003</v>
      </c>
      <c r="E1209" s="265" t="s">
        <v>1004</v>
      </c>
      <c r="F1209" s="265" t="s">
        <v>1005</v>
      </c>
      <c r="G1209" s="265" t="s">
        <v>1006</v>
      </c>
      <c r="H1209" s="265" t="s">
        <v>1007</v>
      </c>
      <c r="I1209" s="265" t="s">
        <v>1008</v>
      </c>
      <c r="J1209" s="265" t="s">
        <v>1009</v>
      </c>
    </row>
    <row r="1210" spans="2:10">
      <c r="B1210" s="266"/>
      <c r="C1210" s="267"/>
      <c r="D1210" s="267"/>
      <c r="E1210" s="268"/>
      <c r="F1210" s="268"/>
      <c r="G1210" s="268"/>
      <c r="H1210" s="268"/>
      <c r="I1210" s="268"/>
      <c r="J1210" s="271"/>
    </row>
    <row r="1211" spans="2:10">
      <c r="B1211" s="266"/>
      <c r="C1211" s="267"/>
      <c r="D1211" s="267"/>
      <c r="E1211" s="268"/>
      <c r="F1211" s="268"/>
      <c r="G1211" s="268"/>
      <c r="H1211" s="268"/>
      <c r="I1211" s="268"/>
      <c r="J1211" s="271"/>
    </row>
    <row r="1212" spans="2:10">
      <c r="B1212" s="266"/>
      <c r="C1212" s="267"/>
      <c r="D1212" s="267"/>
      <c r="E1212" s="268"/>
      <c r="F1212" s="268"/>
      <c r="G1212" s="268"/>
      <c r="H1212" s="268"/>
      <c r="I1212" s="268"/>
      <c r="J1212" s="271"/>
    </row>
    <row r="1213" spans="2:10">
      <c r="B1213" s="266"/>
      <c r="C1213" s="267"/>
      <c r="D1213" s="267"/>
      <c r="E1213" s="268"/>
      <c r="F1213" s="268"/>
      <c r="G1213" s="268"/>
      <c r="H1213" s="268"/>
      <c r="I1213" s="268"/>
      <c r="J1213" s="271"/>
    </row>
    <row r="1214" spans="2:10">
      <c r="B1214" s="266"/>
      <c r="C1214" s="266"/>
      <c r="D1214" s="267"/>
      <c r="E1214" s="267"/>
      <c r="F1214" s="268"/>
      <c r="G1214" s="268"/>
      <c r="H1214" s="268"/>
      <c r="I1214" s="268"/>
      <c r="J1214" s="271"/>
    </row>
    <row r="1215" spans="2:10">
      <c r="B1215" s="686" t="s">
        <v>1011</v>
      </c>
      <c r="C1215" s="687"/>
      <c r="D1215" s="687"/>
      <c r="E1215" s="687"/>
      <c r="F1215" s="687"/>
      <c r="G1215" s="687"/>
      <c r="H1215" s="687"/>
      <c r="I1215" s="688"/>
      <c r="J1215" s="270">
        <f>ROUND(SUM(J1210:J1214),2)</f>
        <v>0</v>
      </c>
    </row>
    <row r="1216" spans="2:10">
      <c r="B1216" s="262"/>
      <c r="C1216" s="262"/>
      <c r="D1216" s="262"/>
      <c r="E1216" s="262"/>
      <c r="F1216" s="262"/>
      <c r="G1216" s="262"/>
      <c r="H1216" s="262"/>
      <c r="I1216" s="262"/>
      <c r="J1216" s="262"/>
    </row>
    <row r="1217" spans="2:10">
      <c r="B1217" s="691" t="s">
        <v>1014</v>
      </c>
      <c r="C1217" s="691"/>
      <c r="D1217" s="691"/>
      <c r="E1217" s="691"/>
      <c r="F1217" s="691"/>
      <c r="G1217" s="691"/>
      <c r="H1217" s="262"/>
      <c r="I1217" s="262"/>
      <c r="J1217" s="262"/>
    </row>
    <row r="1218" spans="2:10">
      <c r="B1218" s="692" t="s">
        <v>1015</v>
      </c>
      <c r="C1218" s="693"/>
      <c r="D1218" s="693"/>
      <c r="E1218" s="694"/>
      <c r="F1218" s="265" t="s">
        <v>1016</v>
      </c>
      <c r="G1218" s="265" t="s">
        <v>1017</v>
      </c>
      <c r="H1218" s="262"/>
      <c r="I1218" s="262"/>
      <c r="J1218" s="262"/>
    </row>
    <row r="1219" spans="2:10">
      <c r="B1219" s="678" t="s">
        <v>1018</v>
      </c>
      <c r="C1219" s="679"/>
      <c r="D1219" s="679"/>
      <c r="E1219" s="680"/>
      <c r="F1219" s="681">
        <f>$J$10</f>
        <v>0.91500000000000004</v>
      </c>
      <c r="G1219" s="272">
        <f>J1189</f>
        <v>6.86</v>
      </c>
      <c r="H1219" s="262"/>
      <c r="I1219" s="262"/>
      <c r="J1219" s="262"/>
    </row>
    <row r="1220" spans="2:10">
      <c r="B1220" s="678" t="s">
        <v>1019</v>
      </c>
      <c r="C1220" s="679"/>
      <c r="D1220" s="679"/>
      <c r="E1220" s="680"/>
      <c r="F1220" s="695"/>
      <c r="G1220" s="272">
        <f>J1207</f>
        <v>2.64</v>
      </c>
      <c r="H1220" s="262"/>
      <c r="I1220" s="262"/>
      <c r="J1220" s="262"/>
    </row>
    <row r="1221" spans="2:10">
      <c r="B1221" s="678" t="s">
        <v>1020</v>
      </c>
      <c r="C1221" s="679"/>
      <c r="D1221" s="679"/>
      <c r="E1221" s="680"/>
      <c r="F1221" s="695"/>
      <c r="G1221" s="272">
        <f>J1215</f>
        <v>0</v>
      </c>
      <c r="H1221" s="262"/>
      <c r="I1221" s="262"/>
      <c r="J1221" s="262"/>
    </row>
    <row r="1222" spans="2:10">
      <c r="B1222" s="678" t="s">
        <v>1021</v>
      </c>
      <c r="C1222" s="679"/>
      <c r="D1222" s="679"/>
      <c r="E1222" s="680"/>
      <c r="F1222" s="695"/>
      <c r="G1222" s="272">
        <v>1</v>
      </c>
      <c r="H1222" s="262"/>
      <c r="I1222" s="262"/>
      <c r="J1222" s="262"/>
    </row>
    <row r="1223" spans="2:10">
      <c r="B1223" s="678" t="s">
        <v>1022</v>
      </c>
      <c r="C1223" s="679"/>
      <c r="D1223" s="679"/>
      <c r="E1223" s="680"/>
      <c r="F1223" s="695"/>
      <c r="G1223" s="272">
        <f>G1219+G1221</f>
        <v>6.86</v>
      </c>
      <c r="H1223" s="262"/>
      <c r="I1223" s="262"/>
      <c r="J1223" s="262"/>
    </row>
    <row r="1224" spans="2:10">
      <c r="B1224" s="678" t="s">
        <v>1023</v>
      </c>
      <c r="C1224" s="679"/>
      <c r="D1224" s="679"/>
      <c r="E1224" s="680"/>
      <c r="F1224" s="695"/>
      <c r="G1224" s="272">
        <f>G1223/G1222</f>
        <v>6.86</v>
      </c>
      <c r="H1224" s="262"/>
      <c r="I1224" s="262"/>
      <c r="J1224" s="262"/>
    </row>
    <row r="1225" spans="2:10">
      <c r="B1225" s="678" t="s">
        <v>1024</v>
      </c>
      <c r="C1225" s="679"/>
      <c r="D1225" s="679"/>
      <c r="E1225" s="680"/>
      <c r="F1225" s="682"/>
      <c r="G1225" s="272">
        <f>G1220+G1224</f>
        <v>9.5</v>
      </c>
      <c r="H1225" s="262"/>
      <c r="I1225" s="262"/>
      <c r="J1225" s="262"/>
    </row>
    <row r="1226" spans="2:10">
      <c r="B1226" s="678" t="s">
        <v>1025</v>
      </c>
      <c r="C1226" s="679"/>
      <c r="D1226" s="679"/>
      <c r="E1226" s="680"/>
      <c r="F1226" s="681">
        <f>$I$11</f>
        <v>0.28220000000000001</v>
      </c>
      <c r="G1226" s="272">
        <f>G1225*F1226</f>
        <v>2.6809000000000003</v>
      </c>
      <c r="H1226" s="262"/>
      <c r="I1226" s="262"/>
      <c r="J1226" s="262"/>
    </row>
    <row r="1227" spans="2:10">
      <c r="B1227" s="683" t="s">
        <v>1026</v>
      </c>
      <c r="C1227" s="684"/>
      <c r="D1227" s="684"/>
      <c r="E1227" s="685"/>
      <c r="F1227" s="682"/>
      <c r="G1227" s="273">
        <f>ROUND(SUM(G1225+G1226),2)</f>
        <v>12.18</v>
      </c>
      <c r="H1227" s="262"/>
      <c r="I1227" s="262"/>
      <c r="J1227" s="307"/>
    </row>
  </sheetData>
  <mergeCells count="528">
    <mergeCell ref="B1226:E1226"/>
    <mergeCell ref="F1226:F1227"/>
    <mergeCell ref="B1227:E1227"/>
    <mergeCell ref="B1208:J1208"/>
    <mergeCell ref="B1215:I1215"/>
    <mergeCell ref="B1217:G1217"/>
    <mergeCell ref="B1218:E1218"/>
    <mergeCell ref="B1219:E1219"/>
    <mergeCell ref="F1219:F1225"/>
    <mergeCell ref="B1220:E1220"/>
    <mergeCell ref="B1221:E1221"/>
    <mergeCell ref="B1222:E1222"/>
    <mergeCell ref="B1223:E1223"/>
    <mergeCell ref="B1224:E1224"/>
    <mergeCell ref="B1225:E1225"/>
    <mergeCell ref="B1174:J1174"/>
    <mergeCell ref="B1175:J1175"/>
    <mergeCell ref="B1176:J1176"/>
    <mergeCell ref="B1177:B1180"/>
    <mergeCell ref="D1179:J1179"/>
    <mergeCell ref="B1189:I1189"/>
    <mergeCell ref="B1190:J1190"/>
    <mergeCell ref="B1207:I1207"/>
    <mergeCell ref="B1124:J1124"/>
    <mergeCell ref="D1126:E1126"/>
    <mergeCell ref="B1125:B1128"/>
    <mergeCell ref="B1123:J1123"/>
    <mergeCell ref="B1122:J1122"/>
    <mergeCell ref="B1119:E1119"/>
    <mergeCell ref="F1119:F1120"/>
    <mergeCell ref="B1120:E1120"/>
    <mergeCell ref="B1172:E1172"/>
    <mergeCell ref="F1171:F1172"/>
    <mergeCell ref="B1171:E1171"/>
    <mergeCell ref="B1170:E1170"/>
    <mergeCell ref="B1169:E1169"/>
    <mergeCell ref="B1168:E1168"/>
    <mergeCell ref="B1167:E1167"/>
    <mergeCell ref="B1166:E1166"/>
    <mergeCell ref="B1165:E1165"/>
    <mergeCell ref="F1164:F1170"/>
    <mergeCell ref="B1164:E1164"/>
    <mergeCell ref="B1163:E1163"/>
    <mergeCell ref="B1162:G1162"/>
    <mergeCell ref="B1160:I1160"/>
    <mergeCell ref="B1153:J1153"/>
    <mergeCell ref="B1152:I1152"/>
    <mergeCell ref="B1138:J1138"/>
    <mergeCell ref="B1137:I1137"/>
    <mergeCell ref="D1127:J1127"/>
    <mergeCell ref="B1069:J1069"/>
    <mergeCell ref="B1070:J1070"/>
    <mergeCell ref="B1071:J1071"/>
    <mergeCell ref="B1072:B1075"/>
    <mergeCell ref="D1073:E1073"/>
    <mergeCell ref="D1074:J1074"/>
    <mergeCell ref="B1084:I1084"/>
    <mergeCell ref="B1085:J1085"/>
    <mergeCell ref="B1100:I1100"/>
    <mergeCell ref="B1101:J1101"/>
    <mergeCell ref="B1108:I1108"/>
    <mergeCell ref="B1110:G1110"/>
    <mergeCell ref="B1111:E1111"/>
    <mergeCell ref="B1112:E1112"/>
    <mergeCell ref="F1112:F1118"/>
    <mergeCell ref="B1113:E1113"/>
    <mergeCell ref="B1114:E1114"/>
    <mergeCell ref="B1115:E1115"/>
    <mergeCell ref="B1116:E1116"/>
    <mergeCell ref="B1117:E1117"/>
    <mergeCell ref="B1118:E1118"/>
    <mergeCell ref="B438:E438"/>
    <mergeCell ref="F438:F439"/>
    <mergeCell ref="B439:E439"/>
    <mergeCell ref="B420:J420"/>
    <mergeCell ref="B427:I427"/>
    <mergeCell ref="B429:G429"/>
    <mergeCell ref="B430:E430"/>
    <mergeCell ref="B431:E431"/>
    <mergeCell ref="F431:F437"/>
    <mergeCell ref="B432:E432"/>
    <mergeCell ref="B433:E433"/>
    <mergeCell ref="B434:E434"/>
    <mergeCell ref="B435:E435"/>
    <mergeCell ref="B436:E436"/>
    <mergeCell ref="B437:E437"/>
    <mergeCell ref="B388:J388"/>
    <mergeCell ref="B389:J389"/>
    <mergeCell ref="B390:J390"/>
    <mergeCell ref="B391:B394"/>
    <mergeCell ref="D392:E392"/>
    <mergeCell ref="D393:J393"/>
    <mergeCell ref="B403:I403"/>
    <mergeCell ref="B404:J404"/>
    <mergeCell ref="B419:I419"/>
    <mergeCell ref="B383:E383"/>
    <mergeCell ref="B384:E384"/>
    <mergeCell ref="B385:E385"/>
    <mergeCell ref="F385:F386"/>
    <mergeCell ref="B386:E386"/>
    <mergeCell ref="B367:J367"/>
    <mergeCell ref="B374:I374"/>
    <mergeCell ref="B376:G376"/>
    <mergeCell ref="B377:E377"/>
    <mergeCell ref="B378:E378"/>
    <mergeCell ref="F378:F384"/>
    <mergeCell ref="B379:E379"/>
    <mergeCell ref="B380:E380"/>
    <mergeCell ref="B381:E381"/>
    <mergeCell ref="B382:E382"/>
    <mergeCell ref="B333:B336"/>
    <mergeCell ref="D334:E334"/>
    <mergeCell ref="D335:J335"/>
    <mergeCell ref="B345:I345"/>
    <mergeCell ref="B346:J346"/>
    <mergeCell ref="B366:I366"/>
    <mergeCell ref="B330:J330"/>
    <mergeCell ref="B331:J331"/>
    <mergeCell ref="B332:J332"/>
    <mergeCell ref="B325:E325"/>
    <mergeCell ref="B326:E326"/>
    <mergeCell ref="B327:E327"/>
    <mergeCell ref="F327:F328"/>
    <mergeCell ref="B328:E328"/>
    <mergeCell ref="B310:J310"/>
    <mergeCell ref="B316:I316"/>
    <mergeCell ref="B318:G318"/>
    <mergeCell ref="B319:E319"/>
    <mergeCell ref="B320:E320"/>
    <mergeCell ref="F320:F326"/>
    <mergeCell ref="B321:E321"/>
    <mergeCell ref="B322:E322"/>
    <mergeCell ref="B323:E323"/>
    <mergeCell ref="B324:E324"/>
    <mergeCell ref="B286:B289"/>
    <mergeCell ref="D287:E287"/>
    <mergeCell ref="D288:J288"/>
    <mergeCell ref="B298:I298"/>
    <mergeCell ref="B299:J299"/>
    <mergeCell ref="B309:I309"/>
    <mergeCell ref="B280:E280"/>
    <mergeCell ref="F280:F281"/>
    <mergeCell ref="B281:E281"/>
    <mergeCell ref="B283:J283"/>
    <mergeCell ref="B284:J284"/>
    <mergeCell ref="B285:J285"/>
    <mergeCell ref="B273:E273"/>
    <mergeCell ref="F273:F279"/>
    <mergeCell ref="B274:E274"/>
    <mergeCell ref="B275:E275"/>
    <mergeCell ref="B276:E276"/>
    <mergeCell ref="B277:E277"/>
    <mergeCell ref="B278:E278"/>
    <mergeCell ref="B279:E279"/>
    <mergeCell ref="B246:J246"/>
    <mergeCell ref="B261:I261"/>
    <mergeCell ref="B262:J262"/>
    <mergeCell ref="B269:I269"/>
    <mergeCell ref="B271:G271"/>
    <mergeCell ref="B272:E272"/>
    <mergeCell ref="B231:J231"/>
    <mergeCell ref="B232:J232"/>
    <mergeCell ref="B233:B236"/>
    <mergeCell ref="D234:E234"/>
    <mergeCell ref="D235:J235"/>
    <mergeCell ref="B245:I245"/>
    <mergeCell ref="B225:E225"/>
    <mergeCell ref="B226:E226"/>
    <mergeCell ref="B227:E227"/>
    <mergeCell ref="F227:F228"/>
    <mergeCell ref="B228:E228"/>
    <mergeCell ref="B230:J230"/>
    <mergeCell ref="B209:J209"/>
    <mergeCell ref="B216:I216"/>
    <mergeCell ref="B218:G218"/>
    <mergeCell ref="B219:E219"/>
    <mergeCell ref="B220:E220"/>
    <mergeCell ref="F220:F226"/>
    <mergeCell ref="B221:E221"/>
    <mergeCell ref="B222:E222"/>
    <mergeCell ref="B223:E223"/>
    <mergeCell ref="B224:E224"/>
    <mergeCell ref="B180:B183"/>
    <mergeCell ref="D181:E181"/>
    <mergeCell ref="D182:J182"/>
    <mergeCell ref="B192:I192"/>
    <mergeCell ref="B193:J193"/>
    <mergeCell ref="B208:I208"/>
    <mergeCell ref="B174:E174"/>
    <mergeCell ref="F174:F175"/>
    <mergeCell ref="B175:E175"/>
    <mergeCell ref="B177:J177"/>
    <mergeCell ref="B178:J178"/>
    <mergeCell ref="B179:J179"/>
    <mergeCell ref="B167:E167"/>
    <mergeCell ref="F167:F173"/>
    <mergeCell ref="B168:E168"/>
    <mergeCell ref="B169:E169"/>
    <mergeCell ref="B170:E170"/>
    <mergeCell ref="B171:E171"/>
    <mergeCell ref="B172:E172"/>
    <mergeCell ref="B173:E173"/>
    <mergeCell ref="B140:J140"/>
    <mergeCell ref="B155:I155"/>
    <mergeCell ref="B156:J156"/>
    <mergeCell ref="B163:I163"/>
    <mergeCell ref="B165:G165"/>
    <mergeCell ref="B166:E166"/>
    <mergeCell ref="B125:J125"/>
    <mergeCell ref="B126:J126"/>
    <mergeCell ref="B127:B130"/>
    <mergeCell ref="D128:E128"/>
    <mergeCell ref="D129:J129"/>
    <mergeCell ref="B139:I139"/>
    <mergeCell ref="B119:E119"/>
    <mergeCell ref="B120:E120"/>
    <mergeCell ref="B121:E121"/>
    <mergeCell ref="F121:F122"/>
    <mergeCell ref="B122:E122"/>
    <mergeCell ref="B124:J124"/>
    <mergeCell ref="B104:J104"/>
    <mergeCell ref="B110:I110"/>
    <mergeCell ref="B112:G112"/>
    <mergeCell ref="B113:E113"/>
    <mergeCell ref="B114:E114"/>
    <mergeCell ref="F114:F120"/>
    <mergeCell ref="B115:E115"/>
    <mergeCell ref="B116:E116"/>
    <mergeCell ref="B117:E117"/>
    <mergeCell ref="B118:E118"/>
    <mergeCell ref="B72:B75"/>
    <mergeCell ref="D73:E73"/>
    <mergeCell ref="D74:J74"/>
    <mergeCell ref="B82:I82"/>
    <mergeCell ref="B83:J83"/>
    <mergeCell ref="B103:I103"/>
    <mergeCell ref="B66:E66"/>
    <mergeCell ref="F66:F67"/>
    <mergeCell ref="B67:E67"/>
    <mergeCell ref="B69:J69"/>
    <mergeCell ref="B70:J70"/>
    <mergeCell ref="B71:J71"/>
    <mergeCell ref="B58:E58"/>
    <mergeCell ref="B59:E59"/>
    <mergeCell ref="F59:F65"/>
    <mergeCell ref="B60:E60"/>
    <mergeCell ref="B61:E61"/>
    <mergeCell ref="B62:E62"/>
    <mergeCell ref="B63:E63"/>
    <mergeCell ref="B64:E64"/>
    <mergeCell ref="B65:E65"/>
    <mergeCell ref="B29:I29"/>
    <mergeCell ref="B30:J30"/>
    <mergeCell ref="B47:I47"/>
    <mergeCell ref="B48:J48"/>
    <mergeCell ref="B55:I55"/>
    <mergeCell ref="B57:G57"/>
    <mergeCell ref="B2:J8"/>
    <mergeCell ref="B14:J14"/>
    <mergeCell ref="B15:J15"/>
    <mergeCell ref="B16:J16"/>
    <mergeCell ref="B17:B20"/>
    <mergeCell ref="D18:E18"/>
    <mergeCell ref="D19:J19"/>
    <mergeCell ref="B441:J441"/>
    <mergeCell ref="B442:J442"/>
    <mergeCell ref="B443:J443"/>
    <mergeCell ref="B444:B447"/>
    <mergeCell ref="D445:E445"/>
    <mergeCell ref="D446:J446"/>
    <mergeCell ref="B456:I456"/>
    <mergeCell ref="B457:J457"/>
    <mergeCell ref="B474:I474"/>
    <mergeCell ref="B475:J475"/>
    <mergeCell ref="B482:I482"/>
    <mergeCell ref="B484:G484"/>
    <mergeCell ref="B485:E485"/>
    <mergeCell ref="B486:E486"/>
    <mergeCell ref="F486:F492"/>
    <mergeCell ref="B487:E487"/>
    <mergeCell ref="B488:E488"/>
    <mergeCell ref="B489:E489"/>
    <mergeCell ref="B490:E490"/>
    <mergeCell ref="B491:E491"/>
    <mergeCell ref="B492:E492"/>
    <mergeCell ref="B493:E493"/>
    <mergeCell ref="F493:F494"/>
    <mergeCell ref="B494:E494"/>
    <mergeCell ref="B496:J496"/>
    <mergeCell ref="B497:J497"/>
    <mergeCell ref="B498:J498"/>
    <mergeCell ref="B499:B502"/>
    <mergeCell ref="D500:E500"/>
    <mergeCell ref="D501:J501"/>
    <mergeCell ref="B511:I511"/>
    <mergeCell ref="B512:J512"/>
    <mergeCell ref="B528:I528"/>
    <mergeCell ref="B529:J529"/>
    <mergeCell ref="B536:I536"/>
    <mergeCell ref="B538:G538"/>
    <mergeCell ref="B539:E539"/>
    <mergeCell ref="B540:E540"/>
    <mergeCell ref="F540:F546"/>
    <mergeCell ref="B541:E541"/>
    <mergeCell ref="B542:E542"/>
    <mergeCell ref="B543:E543"/>
    <mergeCell ref="B544:E544"/>
    <mergeCell ref="B545:E545"/>
    <mergeCell ref="B546:E546"/>
    <mergeCell ref="B547:E547"/>
    <mergeCell ref="F547:F548"/>
    <mergeCell ref="B548:E548"/>
    <mergeCell ref="B550:J550"/>
    <mergeCell ref="B551:J551"/>
    <mergeCell ref="B552:J552"/>
    <mergeCell ref="B553:B556"/>
    <mergeCell ref="D554:E554"/>
    <mergeCell ref="D555:J555"/>
    <mergeCell ref="B565:I565"/>
    <mergeCell ref="B566:J566"/>
    <mergeCell ref="B585:I585"/>
    <mergeCell ref="B586:J586"/>
    <mergeCell ref="B593:I593"/>
    <mergeCell ref="B595:G595"/>
    <mergeCell ref="B596:E596"/>
    <mergeCell ref="B597:E597"/>
    <mergeCell ref="F597:F603"/>
    <mergeCell ref="B598:E598"/>
    <mergeCell ref="B599:E599"/>
    <mergeCell ref="B600:E600"/>
    <mergeCell ref="B601:E601"/>
    <mergeCell ref="B602:E602"/>
    <mergeCell ref="B603:E603"/>
    <mergeCell ref="B604:E604"/>
    <mergeCell ref="F604:F605"/>
    <mergeCell ref="B605:E605"/>
    <mergeCell ref="B607:J607"/>
    <mergeCell ref="B608:J608"/>
    <mergeCell ref="B609:J609"/>
    <mergeCell ref="B610:B613"/>
    <mergeCell ref="D611:E611"/>
    <mergeCell ref="D612:J612"/>
    <mergeCell ref="B622:I622"/>
    <mergeCell ref="B623:J623"/>
    <mergeCell ref="B643:I643"/>
    <mergeCell ref="B644:J644"/>
    <mergeCell ref="B651:I651"/>
    <mergeCell ref="B653:G653"/>
    <mergeCell ref="B654:E654"/>
    <mergeCell ref="B655:E655"/>
    <mergeCell ref="F655:F661"/>
    <mergeCell ref="B656:E656"/>
    <mergeCell ref="B657:E657"/>
    <mergeCell ref="B658:E658"/>
    <mergeCell ref="B659:E659"/>
    <mergeCell ref="B660:E660"/>
    <mergeCell ref="B661:E661"/>
    <mergeCell ref="B662:E662"/>
    <mergeCell ref="F662:F663"/>
    <mergeCell ref="B663:E663"/>
    <mergeCell ref="B665:J665"/>
    <mergeCell ref="B666:J666"/>
    <mergeCell ref="B667:J667"/>
    <mergeCell ref="B668:B671"/>
    <mergeCell ref="D669:E669"/>
    <mergeCell ref="D670:J670"/>
    <mergeCell ref="B680:I680"/>
    <mergeCell ref="B681:J681"/>
    <mergeCell ref="B699:I699"/>
    <mergeCell ref="B700:J700"/>
    <mergeCell ref="B707:I707"/>
    <mergeCell ref="B709:G709"/>
    <mergeCell ref="B710:E710"/>
    <mergeCell ref="B711:E711"/>
    <mergeCell ref="F711:F717"/>
    <mergeCell ref="B712:E712"/>
    <mergeCell ref="B713:E713"/>
    <mergeCell ref="B714:E714"/>
    <mergeCell ref="B715:E715"/>
    <mergeCell ref="B716:E716"/>
    <mergeCell ref="B717:E717"/>
    <mergeCell ref="B718:E718"/>
    <mergeCell ref="F718:F719"/>
    <mergeCell ref="B719:E719"/>
    <mergeCell ref="B721:J721"/>
    <mergeCell ref="B722:J722"/>
    <mergeCell ref="B723:J723"/>
    <mergeCell ref="B724:B727"/>
    <mergeCell ref="D725:E725"/>
    <mergeCell ref="D726:J726"/>
    <mergeCell ref="B736:I736"/>
    <mergeCell ref="B737:J737"/>
    <mergeCell ref="B757:I757"/>
    <mergeCell ref="B758:J758"/>
    <mergeCell ref="B765:I765"/>
    <mergeCell ref="B767:G767"/>
    <mergeCell ref="B768:E768"/>
    <mergeCell ref="B769:E769"/>
    <mergeCell ref="F769:F775"/>
    <mergeCell ref="B770:E770"/>
    <mergeCell ref="B771:E771"/>
    <mergeCell ref="B772:E772"/>
    <mergeCell ref="B773:E773"/>
    <mergeCell ref="B774:E774"/>
    <mergeCell ref="B775:E775"/>
    <mergeCell ref="B776:E776"/>
    <mergeCell ref="F776:F777"/>
    <mergeCell ref="B777:E777"/>
    <mergeCell ref="B779:J779"/>
    <mergeCell ref="B780:J780"/>
    <mergeCell ref="B781:J781"/>
    <mergeCell ref="B782:B785"/>
    <mergeCell ref="D783:E783"/>
    <mergeCell ref="D784:J784"/>
    <mergeCell ref="B794:I794"/>
    <mergeCell ref="B795:J795"/>
    <mergeCell ref="B815:I815"/>
    <mergeCell ref="B816:J816"/>
    <mergeCell ref="B823:I823"/>
    <mergeCell ref="B825:G825"/>
    <mergeCell ref="B826:E826"/>
    <mergeCell ref="B827:E827"/>
    <mergeCell ref="F827:F833"/>
    <mergeCell ref="B828:E828"/>
    <mergeCell ref="B829:E829"/>
    <mergeCell ref="B830:E830"/>
    <mergeCell ref="B831:E831"/>
    <mergeCell ref="B832:E832"/>
    <mergeCell ref="B833:E833"/>
    <mergeCell ref="B834:E834"/>
    <mergeCell ref="F834:F835"/>
    <mergeCell ref="B835:E835"/>
    <mergeCell ref="B837:J837"/>
    <mergeCell ref="B838:J838"/>
    <mergeCell ref="B839:J839"/>
    <mergeCell ref="B840:B843"/>
    <mergeCell ref="D841:E841"/>
    <mergeCell ref="D842:J842"/>
    <mergeCell ref="B852:I852"/>
    <mergeCell ref="B853:J853"/>
    <mergeCell ref="B873:I873"/>
    <mergeCell ref="B874:J874"/>
    <mergeCell ref="B881:I881"/>
    <mergeCell ref="B883:G883"/>
    <mergeCell ref="B884:E884"/>
    <mergeCell ref="B885:E885"/>
    <mergeCell ref="F885:F891"/>
    <mergeCell ref="B886:E886"/>
    <mergeCell ref="B887:E887"/>
    <mergeCell ref="B888:E888"/>
    <mergeCell ref="B889:E889"/>
    <mergeCell ref="B890:E890"/>
    <mergeCell ref="B891:E891"/>
    <mergeCell ref="B892:E892"/>
    <mergeCell ref="F892:F893"/>
    <mergeCell ref="B893:E893"/>
    <mergeCell ref="B895:J895"/>
    <mergeCell ref="B896:J896"/>
    <mergeCell ref="B897:J897"/>
    <mergeCell ref="B898:B901"/>
    <mergeCell ref="D899:E899"/>
    <mergeCell ref="D900:J900"/>
    <mergeCell ref="B910:I910"/>
    <mergeCell ref="B911:J911"/>
    <mergeCell ref="B931:I931"/>
    <mergeCell ref="B932:J932"/>
    <mergeCell ref="B939:I939"/>
    <mergeCell ref="B941:G941"/>
    <mergeCell ref="B942:E942"/>
    <mergeCell ref="B943:E943"/>
    <mergeCell ref="F943:F949"/>
    <mergeCell ref="B944:E944"/>
    <mergeCell ref="B945:E945"/>
    <mergeCell ref="B946:E946"/>
    <mergeCell ref="B947:E947"/>
    <mergeCell ref="B948:E948"/>
    <mergeCell ref="B949:E949"/>
    <mergeCell ref="B950:E950"/>
    <mergeCell ref="F950:F951"/>
    <mergeCell ref="B951:E951"/>
    <mergeCell ref="B953:J953"/>
    <mergeCell ref="B954:J954"/>
    <mergeCell ref="B955:J955"/>
    <mergeCell ref="B956:B959"/>
    <mergeCell ref="D957:E957"/>
    <mergeCell ref="D958:J958"/>
    <mergeCell ref="B968:I968"/>
    <mergeCell ref="B969:J969"/>
    <mergeCell ref="B989:I989"/>
    <mergeCell ref="B990:J990"/>
    <mergeCell ref="B997:I997"/>
    <mergeCell ref="B999:G999"/>
    <mergeCell ref="B1000:E1000"/>
    <mergeCell ref="B1001:E1001"/>
    <mergeCell ref="F1001:F1007"/>
    <mergeCell ref="B1002:E1002"/>
    <mergeCell ref="B1003:E1003"/>
    <mergeCell ref="B1004:E1004"/>
    <mergeCell ref="B1005:E1005"/>
    <mergeCell ref="B1006:E1006"/>
    <mergeCell ref="B1007:E1007"/>
    <mergeCell ref="B1008:E1008"/>
    <mergeCell ref="F1008:F1009"/>
    <mergeCell ref="B1009:E1009"/>
    <mergeCell ref="B1011:J1011"/>
    <mergeCell ref="B1012:J1012"/>
    <mergeCell ref="B1013:J1013"/>
    <mergeCell ref="B1014:B1017"/>
    <mergeCell ref="D1015:E1015"/>
    <mergeCell ref="D1016:J1016"/>
    <mergeCell ref="B1066:E1066"/>
    <mergeCell ref="F1066:F1067"/>
    <mergeCell ref="B1067:E1067"/>
    <mergeCell ref="B1026:I1026"/>
    <mergeCell ref="B1027:J1027"/>
    <mergeCell ref="B1047:I1047"/>
    <mergeCell ref="B1048:J1048"/>
    <mergeCell ref="B1055:I1055"/>
    <mergeCell ref="B1057:G1057"/>
    <mergeCell ref="B1058:E1058"/>
    <mergeCell ref="B1059:E1059"/>
    <mergeCell ref="F1059:F1065"/>
    <mergeCell ref="B1060:E1060"/>
    <mergeCell ref="B1061:E1061"/>
    <mergeCell ref="B1062:E1062"/>
    <mergeCell ref="B1063:E1063"/>
    <mergeCell ref="B1064:E1064"/>
    <mergeCell ref="B1065:E1065"/>
  </mergeCells>
  <pageMargins left="0.51181102362204722" right="0.51181102362204722" top="0.59055118110236227" bottom="0.59055118110236227" header="0.31496062992125984" footer="0.31496062992125984"/>
  <pageSetup scale="66" fitToWidth="0" fitToHeight="0" orientation="portrait" r:id="rId1"/>
  <drawing r:id="rId2"/>
  <legacyDrawing r:id="rId3"/>
  <oleObjects>
    <mc:AlternateContent xmlns:mc="http://schemas.openxmlformats.org/markup-compatibility/2006">
      <mc:Choice Requires="x14">
        <oleObject shapeId="7169" r:id="rId4">
          <objectPr defaultSize="0" autoPict="0" r:id="rId5">
            <anchor moveWithCells="1" sizeWithCells="1">
              <from>
                <xdr:col>4</xdr:col>
                <xdr:colOff>0</xdr:colOff>
                <xdr:row>1</xdr:row>
                <xdr:rowOff>19050</xdr:rowOff>
              </from>
              <to>
                <xdr:col>4</xdr:col>
                <xdr:colOff>0</xdr:colOff>
                <xdr:row>8</xdr:row>
                <xdr:rowOff>0</xdr:rowOff>
              </to>
            </anchor>
          </objectPr>
        </oleObject>
      </mc:Choice>
      <mc:Fallback>
        <oleObject shapeId="7169" r:id="rId4"/>
      </mc:Fallback>
    </mc:AlternateContent>
    <mc:AlternateContent xmlns:mc="http://schemas.openxmlformats.org/markup-compatibility/2006">
      <mc:Choice Requires="x14">
        <oleObject shapeId="7170" r:id="rId6">
          <objectPr defaultSize="0" autoPict="0" r:id="rId5">
            <anchor moveWithCells="1" sizeWithCells="1">
              <from>
                <xdr:col>1</xdr:col>
                <xdr:colOff>647700</xdr:colOff>
                <xdr:row>1</xdr:row>
                <xdr:rowOff>57150</xdr:rowOff>
              </from>
              <to>
                <xdr:col>1</xdr:col>
                <xdr:colOff>2133600</xdr:colOff>
                <xdr:row>7</xdr:row>
                <xdr:rowOff>161925</xdr:rowOff>
              </to>
            </anchor>
          </objectPr>
        </oleObject>
      </mc:Choice>
      <mc:Fallback>
        <oleObject shapeId="7170" r:id="rId6"/>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B1:J518"/>
  <sheetViews>
    <sheetView view="pageBreakPreview" zoomScaleNormal="100" zoomScaleSheetLayoutView="100" workbookViewId="0">
      <selection activeCell="G68" sqref="G68"/>
    </sheetView>
  </sheetViews>
  <sheetFormatPr defaultRowHeight="15"/>
  <cols>
    <col min="1" max="1" width="3.28515625" style="231" customWidth="1"/>
    <col min="2" max="2" width="57.140625" style="231" customWidth="1"/>
    <col min="3" max="3" width="10.42578125" style="231" bestFit="1" customWidth="1"/>
    <col min="4" max="4" width="8.28515625" style="231" customWidth="1"/>
    <col min="5" max="5" width="8.5703125" style="231" bestFit="1" customWidth="1"/>
    <col min="6" max="6" width="8.7109375" style="231" bestFit="1" customWidth="1"/>
    <col min="7" max="7" width="13.7109375" style="231" bestFit="1" customWidth="1"/>
    <col min="8" max="8" width="8.28515625" style="231" bestFit="1" customWidth="1"/>
    <col min="9" max="10" width="12.5703125" style="231" bestFit="1" customWidth="1"/>
    <col min="11" max="11" width="15.28515625" style="231" customWidth="1"/>
    <col min="12" max="16384" width="9.140625" style="231"/>
  </cols>
  <sheetData>
    <row r="1" spans="2:10" ht="15.75" thickBot="1"/>
    <row r="2" spans="2:10" ht="15" customHeight="1">
      <c r="B2" s="603" t="s">
        <v>0</v>
      </c>
      <c r="C2" s="658"/>
      <c r="D2" s="658"/>
      <c r="E2" s="658"/>
      <c r="F2" s="658"/>
      <c r="G2" s="658"/>
      <c r="H2" s="658"/>
      <c r="I2" s="658"/>
      <c r="J2" s="659"/>
    </row>
    <row r="3" spans="2:10">
      <c r="B3" s="660"/>
      <c r="C3" s="661"/>
      <c r="D3" s="661"/>
      <c r="E3" s="661"/>
      <c r="F3" s="661"/>
      <c r="G3" s="661"/>
      <c r="H3" s="661"/>
      <c r="I3" s="661"/>
      <c r="J3" s="662"/>
    </row>
    <row r="4" spans="2:10">
      <c r="B4" s="660"/>
      <c r="C4" s="661"/>
      <c r="D4" s="661"/>
      <c r="E4" s="661"/>
      <c r="F4" s="661"/>
      <c r="G4" s="661"/>
      <c r="H4" s="661"/>
      <c r="I4" s="661"/>
      <c r="J4" s="662"/>
    </row>
    <row r="5" spans="2:10">
      <c r="B5" s="660"/>
      <c r="C5" s="661"/>
      <c r="D5" s="661"/>
      <c r="E5" s="661"/>
      <c r="F5" s="661"/>
      <c r="G5" s="661"/>
      <c r="H5" s="661"/>
      <c r="I5" s="661"/>
      <c r="J5" s="662"/>
    </row>
    <row r="6" spans="2:10">
      <c r="B6" s="660"/>
      <c r="C6" s="661"/>
      <c r="D6" s="661"/>
      <c r="E6" s="661"/>
      <c r="F6" s="661"/>
      <c r="G6" s="661"/>
      <c r="H6" s="661"/>
      <c r="I6" s="661"/>
      <c r="J6" s="662"/>
    </row>
    <row r="7" spans="2:10">
      <c r="B7" s="660"/>
      <c r="C7" s="661"/>
      <c r="D7" s="661"/>
      <c r="E7" s="661"/>
      <c r="F7" s="661"/>
      <c r="G7" s="661"/>
      <c r="H7" s="661"/>
      <c r="I7" s="661"/>
      <c r="J7" s="662"/>
    </row>
    <row r="8" spans="2:10">
      <c r="B8" s="660"/>
      <c r="C8" s="661"/>
      <c r="D8" s="661"/>
      <c r="E8" s="661"/>
      <c r="F8" s="661"/>
      <c r="G8" s="661"/>
      <c r="H8" s="661"/>
      <c r="I8" s="661"/>
      <c r="J8" s="662"/>
    </row>
    <row r="9" spans="2:10" ht="15.75" thickBot="1">
      <c r="B9" s="232"/>
      <c r="C9" s="233"/>
      <c r="D9" s="233"/>
      <c r="E9" s="233"/>
      <c r="F9" s="233"/>
      <c r="G9" s="233"/>
      <c r="H9" s="234"/>
      <c r="I9" s="235"/>
      <c r="J9" s="236"/>
    </row>
    <row r="10" spans="2:10" ht="15" customHeight="1">
      <c r="B10" s="237" t="s">
        <v>1967</v>
      </c>
      <c r="C10" s="238"/>
      <c r="D10" s="238"/>
      <c r="E10" s="238"/>
      <c r="F10" s="238"/>
      <c r="G10" s="238"/>
      <c r="H10" s="238"/>
      <c r="I10" s="239" t="s">
        <v>985</v>
      </c>
      <c r="J10" s="240">
        <v>0.91500000000000004</v>
      </c>
    </row>
    <row r="11" spans="2:10" ht="15" customHeight="1">
      <c r="B11" s="241" t="s">
        <v>488</v>
      </c>
      <c r="C11" s="242"/>
      <c r="D11" s="242"/>
      <c r="E11" s="242"/>
      <c r="F11" s="242"/>
      <c r="G11" s="242"/>
      <c r="H11" s="242"/>
      <c r="I11" s="546" t="s">
        <v>986</v>
      </c>
      <c r="J11" s="545">
        <f>[3]BDI!E41</f>
        <v>0.28220000000000001</v>
      </c>
    </row>
    <row r="12" spans="2:10" ht="15.75" customHeight="1" thickBot="1">
      <c r="B12" s="243" t="s">
        <v>987</v>
      </c>
      <c r="C12" s="244"/>
      <c r="D12" s="244"/>
      <c r="E12" s="244"/>
      <c r="F12" s="244"/>
      <c r="G12" s="244"/>
      <c r="H12" s="244"/>
      <c r="I12" s="245" t="s">
        <v>988</v>
      </c>
      <c r="J12" s="246" t="s">
        <v>1966</v>
      </c>
    </row>
    <row r="13" spans="2:10" ht="15.75" thickBot="1">
      <c r="C13" s="247"/>
      <c r="D13" s="247"/>
      <c r="E13" s="247"/>
      <c r="F13" s="247"/>
      <c r="G13" s="247"/>
      <c r="H13" s="247"/>
      <c r="I13" s="248"/>
    </row>
    <row r="14" spans="2:10" ht="15.75" customHeight="1" thickBot="1">
      <c r="B14" s="696" t="s">
        <v>990</v>
      </c>
      <c r="C14" s="697"/>
      <c r="D14" s="697"/>
      <c r="E14" s="697"/>
      <c r="F14" s="697"/>
      <c r="G14" s="697"/>
      <c r="H14" s="697"/>
      <c r="I14" s="697"/>
      <c r="J14" s="698"/>
    </row>
    <row r="15" spans="2:10" ht="15" customHeight="1">
      <c r="B15" s="699" t="s">
        <v>1713</v>
      </c>
      <c r="C15" s="699"/>
      <c r="D15" s="699"/>
      <c r="E15" s="699"/>
      <c r="F15" s="699"/>
      <c r="G15" s="699"/>
      <c r="H15" s="699"/>
      <c r="I15" s="699"/>
      <c r="J15" s="699"/>
    </row>
    <row r="16" spans="2:10" ht="15" customHeight="1" thickBot="1">
      <c r="B16" s="699" t="s">
        <v>8</v>
      </c>
      <c r="C16" s="699"/>
      <c r="D16" s="699"/>
      <c r="E16" s="699"/>
      <c r="F16" s="699"/>
      <c r="G16" s="699"/>
      <c r="H16" s="699"/>
      <c r="I16" s="699"/>
      <c r="J16" s="699"/>
    </row>
    <row r="17" spans="2:10">
      <c r="B17" s="700" t="s">
        <v>991</v>
      </c>
      <c r="C17" s="249" t="s">
        <v>992</v>
      </c>
      <c r="D17" s="250">
        <v>6</v>
      </c>
      <c r="E17" s="251" t="s">
        <v>993</v>
      </c>
      <c r="F17" s="252">
        <v>2017</v>
      </c>
      <c r="G17" s="253"/>
      <c r="H17" s="253"/>
      <c r="I17" s="251" t="s">
        <v>994</v>
      </c>
      <c r="J17" s="254" t="s">
        <v>535</v>
      </c>
    </row>
    <row r="18" spans="2:10" ht="15" customHeight="1">
      <c r="B18" s="701"/>
      <c r="C18" s="255" t="s">
        <v>995</v>
      </c>
      <c r="D18" s="704" t="s">
        <v>996</v>
      </c>
      <c r="E18" s="704"/>
      <c r="F18" s="256"/>
      <c r="G18" s="256"/>
      <c r="H18" s="256"/>
      <c r="I18" s="256"/>
      <c r="J18" s="257"/>
    </row>
    <row r="19" spans="2:10" ht="15" customHeight="1">
      <c r="B19" s="701"/>
      <c r="C19" s="255" t="s">
        <v>997</v>
      </c>
      <c r="D19" s="707" t="s">
        <v>998</v>
      </c>
      <c r="E19" s="707"/>
      <c r="F19" s="707"/>
      <c r="G19" s="707"/>
      <c r="H19" s="707"/>
      <c r="I19" s="707"/>
      <c r="J19" s="708"/>
    </row>
    <row r="20" spans="2:10" ht="15" customHeight="1" thickBot="1">
      <c r="B20" s="702"/>
      <c r="C20" s="258" t="s">
        <v>999</v>
      </c>
      <c r="D20" s="259" t="s">
        <v>1000</v>
      </c>
      <c r="E20" s="260"/>
      <c r="F20" s="260"/>
      <c r="G20" s="260"/>
      <c r="H20" s="260"/>
      <c r="I20" s="260"/>
      <c r="J20" s="261"/>
    </row>
    <row r="21" spans="2:10">
      <c r="B21" s="262"/>
      <c r="C21" s="262"/>
      <c r="D21" s="262"/>
      <c r="E21" s="262"/>
      <c r="F21" s="262"/>
      <c r="G21" s="312"/>
      <c r="H21" s="262"/>
      <c r="I21" s="262"/>
      <c r="J21" s="262"/>
    </row>
    <row r="22" spans="2:10" ht="30">
      <c r="B22" s="263" t="s">
        <v>1001</v>
      </c>
      <c r="C22" s="264" t="s">
        <v>1002</v>
      </c>
      <c r="D22" s="264" t="s">
        <v>1003</v>
      </c>
      <c r="E22" s="265" t="s">
        <v>1004</v>
      </c>
      <c r="F22" s="265" t="s">
        <v>1005</v>
      </c>
      <c r="G22" s="265" t="s">
        <v>1006</v>
      </c>
      <c r="H22" s="265" t="s">
        <v>1007</v>
      </c>
      <c r="I22" s="265" t="s">
        <v>1008</v>
      </c>
      <c r="J22" s="265" t="s">
        <v>1009</v>
      </c>
    </row>
    <row r="23" spans="2:10" ht="30">
      <c r="B23" s="295" t="s">
        <v>1104</v>
      </c>
      <c r="C23" s="267" t="s">
        <v>1010</v>
      </c>
      <c r="D23" s="267">
        <v>93565</v>
      </c>
      <c r="E23" s="271">
        <v>0.06</v>
      </c>
      <c r="F23" s="268">
        <v>1</v>
      </c>
      <c r="G23" s="541">
        <f>12317.57/1.5225</f>
        <v>8090.3579638752053</v>
      </c>
      <c r="H23" s="268">
        <v>0</v>
      </c>
      <c r="I23" s="541">
        <f>ROUND(G23*1.5225,2)</f>
        <v>12317.57</v>
      </c>
      <c r="J23" s="269">
        <f>I23*E23</f>
        <v>739.05419999999992</v>
      </c>
    </row>
    <row r="24" spans="2:10" ht="30">
      <c r="B24" s="295" t="s">
        <v>1106</v>
      </c>
      <c r="C24" s="267" t="s">
        <v>1010</v>
      </c>
      <c r="D24" s="267">
        <v>93572</v>
      </c>
      <c r="E24" s="268">
        <v>1</v>
      </c>
      <c r="F24" s="268">
        <v>1</v>
      </c>
      <c r="G24" s="541">
        <f>5858.04/1.5225</f>
        <v>3847.6453201970444</v>
      </c>
      <c r="H24" s="268">
        <v>0</v>
      </c>
      <c r="I24" s="541">
        <f>ROUND(G24*1.5225,2)</f>
        <v>5858.04</v>
      </c>
      <c r="J24" s="269">
        <f>I24*E24</f>
        <v>5858.04</v>
      </c>
    </row>
    <row r="25" spans="2:10">
      <c r="B25" s="266"/>
      <c r="C25" s="267"/>
      <c r="D25" s="267"/>
      <c r="E25" s="268"/>
      <c r="F25" s="268"/>
      <c r="G25" s="268"/>
      <c r="H25" s="268"/>
      <c r="I25" s="268"/>
      <c r="J25" s="269"/>
    </row>
    <row r="26" spans="2:10">
      <c r="B26" s="266"/>
      <c r="C26" s="267"/>
      <c r="D26" s="267"/>
      <c r="E26" s="268"/>
      <c r="F26" s="268"/>
      <c r="G26" s="268"/>
      <c r="H26" s="268"/>
      <c r="I26" s="268"/>
      <c r="J26" s="269"/>
    </row>
    <row r="27" spans="2:10">
      <c r="B27" s="266"/>
      <c r="C27" s="267"/>
      <c r="D27" s="267"/>
      <c r="E27" s="268"/>
      <c r="F27" s="268"/>
      <c r="G27" s="268"/>
      <c r="H27" s="268"/>
      <c r="I27" s="268"/>
      <c r="J27" s="269"/>
    </row>
    <row r="28" spans="2:10">
      <c r="B28" s="266"/>
      <c r="C28" s="266"/>
      <c r="D28" s="267"/>
      <c r="E28" s="267"/>
      <c r="F28" s="268"/>
      <c r="G28" s="268"/>
      <c r="H28" s="268"/>
      <c r="I28" s="268"/>
      <c r="J28" s="269"/>
    </row>
    <row r="29" spans="2:10">
      <c r="B29" s="686" t="s">
        <v>1011</v>
      </c>
      <c r="C29" s="687"/>
      <c r="D29" s="687"/>
      <c r="E29" s="687"/>
      <c r="F29" s="687"/>
      <c r="G29" s="687"/>
      <c r="H29" s="687"/>
      <c r="I29" s="688"/>
      <c r="J29" s="270">
        <f>ROUND(SUM(J23:J28),2)</f>
        <v>6597.09</v>
      </c>
    </row>
    <row r="30" spans="2:10">
      <c r="B30" s="689"/>
      <c r="C30" s="689"/>
      <c r="D30" s="689"/>
      <c r="E30" s="689"/>
      <c r="F30" s="689"/>
      <c r="G30" s="689"/>
      <c r="H30" s="689"/>
      <c r="I30" s="689"/>
      <c r="J30" s="689"/>
    </row>
    <row r="31" spans="2:10" ht="30">
      <c r="B31" s="263" t="s">
        <v>1012</v>
      </c>
      <c r="C31" s="264" t="s">
        <v>1002</v>
      </c>
      <c r="D31" s="264" t="s">
        <v>1003</v>
      </c>
      <c r="E31" s="265" t="s">
        <v>1004</v>
      </c>
      <c r="F31" s="265" t="s">
        <v>1005</v>
      </c>
      <c r="G31" s="265" t="s">
        <v>1006</v>
      </c>
      <c r="H31" s="265" t="s">
        <v>1007</v>
      </c>
      <c r="I31" s="265" t="s">
        <v>1008</v>
      </c>
      <c r="J31" s="265" t="s">
        <v>1009</v>
      </c>
    </row>
    <row r="32" spans="2:10">
      <c r="B32" s="266"/>
      <c r="C32" s="267"/>
      <c r="D32" s="267"/>
      <c r="E32" s="268"/>
      <c r="F32" s="268"/>
      <c r="G32" s="268"/>
      <c r="H32" s="268"/>
      <c r="I32" s="268"/>
      <c r="J32" s="269"/>
    </row>
    <row r="33" spans="2:10">
      <c r="B33" s="266"/>
      <c r="C33" s="267"/>
      <c r="D33" s="267"/>
      <c r="E33" s="268"/>
      <c r="F33" s="268"/>
      <c r="G33" s="268"/>
      <c r="H33" s="268"/>
      <c r="I33" s="268"/>
      <c r="J33" s="269"/>
    </row>
    <row r="34" spans="2:10">
      <c r="B34" s="266"/>
      <c r="C34" s="267"/>
      <c r="D34" s="267"/>
      <c r="E34" s="268"/>
      <c r="F34" s="268"/>
      <c r="G34" s="268"/>
      <c r="H34" s="268"/>
      <c r="I34" s="268"/>
      <c r="J34" s="269"/>
    </row>
    <row r="35" spans="2:10">
      <c r="B35" s="266"/>
      <c r="C35" s="267"/>
      <c r="D35" s="267"/>
      <c r="E35" s="268"/>
      <c r="F35" s="268"/>
      <c r="G35" s="268"/>
      <c r="H35" s="268"/>
      <c r="I35" s="268"/>
      <c r="J35" s="269"/>
    </row>
    <row r="36" spans="2:10">
      <c r="B36" s="266"/>
      <c r="C36" s="266"/>
      <c r="D36" s="267"/>
      <c r="E36" s="267"/>
      <c r="F36" s="268"/>
      <c r="G36" s="268"/>
      <c r="H36" s="268"/>
      <c r="I36" s="268"/>
      <c r="J36" s="269"/>
    </row>
    <row r="37" spans="2:10">
      <c r="B37" s="266"/>
      <c r="C37" s="266"/>
      <c r="D37" s="267"/>
      <c r="E37" s="267"/>
      <c r="F37" s="268"/>
      <c r="G37" s="268"/>
      <c r="H37" s="268"/>
      <c r="I37" s="268"/>
      <c r="J37" s="269"/>
    </row>
    <row r="38" spans="2:10">
      <c r="B38" s="266"/>
      <c r="C38" s="266"/>
      <c r="D38" s="267"/>
      <c r="E38" s="267"/>
      <c r="F38" s="268"/>
      <c r="G38" s="268"/>
      <c r="H38" s="268"/>
      <c r="I38" s="268"/>
      <c r="J38" s="269"/>
    </row>
    <row r="39" spans="2:10">
      <c r="B39" s="266"/>
      <c r="C39" s="266"/>
      <c r="D39" s="267"/>
      <c r="E39" s="267"/>
      <c r="F39" s="268"/>
      <c r="G39" s="268"/>
      <c r="H39" s="268"/>
      <c r="I39" s="268"/>
      <c r="J39" s="269"/>
    </row>
    <row r="40" spans="2:10">
      <c r="B40" s="266"/>
      <c r="C40" s="266"/>
      <c r="D40" s="267"/>
      <c r="E40" s="267"/>
      <c r="F40" s="268"/>
      <c r="G40" s="268"/>
      <c r="H40" s="268"/>
      <c r="I40" s="268"/>
      <c r="J40" s="269"/>
    </row>
    <row r="41" spans="2:10">
      <c r="B41" s="266"/>
      <c r="C41" s="266"/>
      <c r="D41" s="267"/>
      <c r="E41" s="267"/>
      <c r="F41" s="268"/>
      <c r="G41" s="268"/>
      <c r="H41" s="268"/>
      <c r="I41" s="268"/>
      <c r="J41" s="269"/>
    </row>
    <row r="42" spans="2:10">
      <c r="B42" s="266"/>
      <c r="C42" s="266"/>
      <c r="D42" s="267"/>
      <c r="E42" s="267"/>
      <c r="F42" s="268"/>
      <c r="G42" s="268"/>
      <c r="H42" s="268"/>
      <c r="I42" s="268"/>
      <c r="J42" s="269"/>
    </row>
    <row r="43" spans="2:10">
      <c r="B43" s="266"/>
      <c r="C43" s="266"/>
      <c r="D43" s="267"/>
      <c r="E43" s="267"/>
      <c r="F43" s="268"/>
      <c r="G43" s="268"/>
      <c r="H43" s="268"/>
      <c r="I43" s="268"/>
      <c r="J43" s="269"/>
    </row>
    <row r="44" spans="2:10">
      <c r="B44" s="266"/>
      <c r="C44" s="266"/>
      <c r="D44" s="267"/>
      <c r="E44" s="267"/>
      <c r="F44" s="268"/>
      <c r="G44" s="268"/>
      <c r="H44" s="268"/>
      <c r="I44" s="268"/>
      <c r="J44" s="269"/>
    </row>
    <row r="45" spans="2:10">
      <c r="B45" s="266"/>
      <c r="C45" s="266"/>
      <c r="D45" s="267"/>
      <c r="E45" s="267"/>
      <c r="F45" s="268"/>
      <c r="G45" s="268"/>
      <c r="H45" s="268"/>
      <c r="I45" s="268"/>
      <c r="J45" s="269"/>
    </row>
    <row r="46" spans="2:10">
      <c r="B46" s="266"/>
      <c r="C46" s="266"/>
      <c r="D46" s="267"/>
      <c r="E46" s="267"/>
      <c r="F46" s="268"/>
      <c r="G46" s="268"/>
      <c r="H46" s="268"/>
      <c r="I46" s="268"/>
      <c r="J46" s="269"/>
    </row>
    <row r="47" spans="2:10">
      <c r="B47" s="266"/>
      <c r="C47" s="266"/>
      <c r="D47" s="267"/>
      <c r="E47" s="267"/>
      <c r="F47" s="268"/>
      <c r="G47" s="268"/>
      <c r="H47" s="268"/>
      <c r="I47" s="268"/>
      <c r="J47" s="269"/>
    </row>
    <row r="48" spans="2:10">
      <c r="B48" s="686" t="s">
        <v>1011</v>
      </c>
      <c r="C48" s="687"/>
      <c r="D48" s="687"/>
      <c r="E48" s="687"/>
      <c r="F48" s="687"/>
      <c r="G48" s="687"/>
      <c r="H48" s="687"/>
      <c r="I48" s="688"/>
      <c r="J48" s="270">
        <f>ROUND(SUM(J32:J47),2)</f>
        <v>0</v>
      </c>
    </row>
    <row r="49" spans="2:10">
      <c r="B49" s="690"/>
      <c r="C49" s="690"/>
      <c r="D49" s="690"/>
      <c r="E49" s="690"/>
      <c r="F49" s="690"/>
      <c r="G49" s="690"/>
      <c r="H49" s="690"/>
      <c r="I49" s="690"/>
      <c r="J49" s="690"/>
    </row>
    <row r="50" spans="2:10" ht="30">
      <c r="B50" s="263" t="s">
        <v>1013</v>
      </c>
      <c r="C50" s="264" t="s">
        <v>1002</v>
      </c>
      <c r="D50" s="264" t="s">
        <v>1003</v>
      </c>
      <c r="E50" s="265" t="s">
        <v>1004</v>
      </c>
      <c r="F50" s="265" t="s">
        <v>1005</v>
      </c>
      <c r="G50" s="265" t="s">
        <v>1006</v>
      </c>
      <c r="H50" s="265" t="s">
        <v>1007</v>
      </c>
      <c r="I50" s="265" t="s">
        <v>1008</v>
      </c>
      <c r="J50" s="265" t="s">
        <v>1009</v>
      </c>
    </row>
    <row r="51" spans="2:10">
      <c r="B51" s="266"/>
      <c r="C51" s="267"/>
      <c r="D51" s="267"/>
      <c r="E51" s="268"/>
      <c r="F51" s="268"/>
      <c r="G51" s="268"/>
      <c r="H51" s="268"/>
      <c r="I51" s="268"/>
      <c r="J51" s="271"/>
    </row>
    <row r="52" spans="2:10">
      <c r="B52" s="266"/>
      <c r="C52" s="267"/>
      <c r="D52" s="267"/>
      <c r="E52" s="268"/>
      <c r="F52" s="268"/>
      <c r="G52" s="268"/>
      <c r="H52" s="268"/>
      <c r="I52" s="268"/>
      <c r="J52" s="271"/>
    </row>
    <row r="53" spans="2:10">
      <c r="B53" s="266"/>
      <c r="C53" s="267"/>
      <c r="D53" s="267"/>
      <c r="E53" s="268"/>
      <c r="F53" s="268"/>
      <c r="G53" s="268"/>
      <c r="H53" s="268"/>
      <c r="I53" s="268"/>
      <c r="J53" s="271"/>
    </row>
    <row r="54" spans="2:10">
      <c r="B54" s="266"/>
      <c r="C54" s="267"/>
      <c r="D54" s="267"/>
      <c r="E54" s="268"/>
      <c r="F54" s="268"/>
      <c r="G54" s="268"/>
      <c r="H54" s="268"/>
      <c r="I54" s="268"/>
      <c r="J54" s="271"/>
    </row>
    <row r="55" spans="2:10">
      <c r="B55" s="266"/>
      <c r="C55" s="266"/>
      <c r="D55" s="267"/>
      <c r="E55" s="267"/>
      <c r="F55" s="268"/>
      <c r="G55" s="268"/>
      <c r="H55" s="268"/>
      <c r="I55" s="268"/>
      <c r="J55" s="271"/>
    </row>
    <row r="56" spans="2:10">
      <c r="B56" s="686" t="s">
        <v>1011</v>
      </c>
      <c r="C56" s="687"/>
      <c r="D56" s="687"/>
      <c r="E56" s="687"/>
      <c r="F56" s="687"/>
      <c r="G56" s="687"/>
      <c r="H56" s="687"/>
      <c r="I56" s="688"/>
      <c r="J56" s="270">
        <f>ROUND(SUM(J51:J55),2)</f>
        <v>0</v>
      </c>
    </row>
    <row r="57" spans="2:10">
      <c r="B57" s="262"/>
      <c r="C57" s="262"/>
      <c r="D57" s="262"/>
      <c r="E57" s="262"/>
      <c r="F57" s="262"/>
      <c r="G57" s="262"/>
      <c r="H57" s="262"/>
      <c r="I57" s="262"/>
      <c r="J57" s="262"/>
    </row>
    <row r="58" spans="2:10">
      <c r="B58" s="691" t="s">
        <v>1014</v>
      </c>
      <c r="C58" s="691"/>
      <c r="D58" s="691"/>
      <c r="E58" s="691"/>
      <c r="F58" s="691"/>
      <c r="G58" s="691"/>
      <c r="H58" s="262"/>
      <c r="I58" s="262"/>
      <c r="J58" s="262"/>
    </row>
    <row r="59" spans="2:10">
      <c r="B59" s="692" t="s">
        <v>1015</v>
      </c>
      <c r="C59" s="693"/>
      <c r="D59" s="693"/>
      <c r="E59" s="694"/>
      <c r="F59" s="265" t="s">
        <v>1016</v>
      </c>
      <c r="G59" s="265" t="s">
        <v>1017</v>
      </c>
      <c r="H59" s="262"/>
      <c r="I59" s="262"/>
      <c r="J59" s="262"/>
    </row>
    <row r="60" spans="2:10">
      <c r="B60" s="678" t="s">
        <v>1018</v>
      </c>
      <c r="C60" s="679"/>
      <c r="D60" s="679"/>
      <c r="E60" s="680"/>
      <c r="F60" s="681">
        <f>$J$10</f>
        <v>0.91500000000000004</v>
      </c>
      <c r="G60" s="272">
        <f>J29</f>
        <v>6597.09</v>
      </c>
      <c r="H60" s="262"/>
      <c r="I60" s="262"/>
      <c r="J60" s="262"/>
    </row>
    <row r="61" spans="2:10">
      <c r="B61" s="678" t="s">
        <v>1019</v>
      </c>
      <c r="C61" s="679"/>
      <c r="D61" s="679"/>
      <c r="E61" s="680"/>
      <c r="F61" s="695"/>
      <c r="G61" s="272">
        <f>J48</f>
        <v>0</v>
      </c>
      <c r="H61" s="262"/>
      <c r="I61" s="262"/>
      <c r="J61" s="262"/>
    </row>
    <row r="62" spans="2:10">
      <c r="B62" s="678" t="s">
        <v>1020</v>
      </c>
      <c r="C62" s="679"/>
      <c r="D62" s="679"/>
      <c r="E62" s="680"/>
      <c r="F62" s="695"/>
      <c r="G62" s="272">
        <f>J56</f>
        <v>0</v>
      </c>
      <c r="H62" s="262"/>
      <c r="I62" s="262"/>
      <c r="J62" s="262"/>
    </row>
    <row r="63" spans="2:10">
      <c r="B63" s="678" t="s">
        <v>1021</v>
      </c>
      <c r="C63" s="679"/>
      <c r="D63" s="679"/>
      <c r="E63" s="680"/>
      <c r="F63" s="695"/>
      <c r="G63" s="272">
        <v>0.33</v>
      </c>
      <c r="H63" s="262"/>
      <c r="I63" s="262"/>
      <c r="J63" s="262"/>
    </row>
    <row r="64" spans="2:10">
      <c r="B64" s="678" t="s">
        <v>1022</v>
      </c>
      <c r="C64" s="679"/>
      <c r="D64" s="679"/>
      <c r="E64" s="680"/>
      <c r="F64" s="695"/>
      <c r="G64" s="272">
        <f>G60+G62</f>
        <v>6597.09</v>
      </c>
      <c r="H64" s="262"/>
      <c r="I64" s="262"/>
      <c r="J64" s="262"/>
    </row>
    <row r="65" spans="2:10">
      <c r="B65" s="678" t="s">
        <v>1023</v>
      </c>
      <c r="C65" s="679"/>
      <c r="D65" s="679"/>
      <c r="E65" s="680"/>
      <c r="F65" s="695"/>
      <c r="G65" s="272">
        <f>G64/G63</f>
        <v>19991.181818181816</v>
      </c>
      <c r="H65" s="262"/>
      <c r="I65" s="262"/>
      <c r="J65" s="262"/>
    </row>
    <row r="66" spans="2:10">
      <c r="B66" s="678" t="s">
        <v>1024</v>
      </c>
      <c r="C66" s="679"/>
      <c r="D66" s="679"/>
      <c r="E66" s="680"/>
      <c r="F66" s="682"/>
      <c r="G66" s="272">
        <f>G61+G65</f>
        <v>19991.181818181816</v>
      </c>
      <c r="H66" s="262"/>
      <c r="I66" s="262"/>
      <c r="J66" s="262"/>
    </row>
    <row r="67" spans="2:10">
      <c r="B67" s="678" t="s">
        <v>1025</v>
      </c>
      <c r="C67" s="679"/>
      <c r="D67" s="679"/>
      <c r="E67" s="680"/>
      <c r="F67" s="681">
        <f>$J$11</f>
        <v>0.28220000000000001</v>
      </c>
      <c r="G67" s="272">
        <f>G66*F67</f>
        <v>5641.5115090909085</v>
      </c>
      <c r="H67" s="262"/>
      <c r="I67" s="262"/>
      <c r="J67" s="262"/>
    </row>
    <row r="68" spans="2:10">
      <c r="B68" s="683" t="s">
        <v>1965</v>
      </c>
      <c r="C68" s="684"/>
      <c r="D68" s="684"/>
      <c r="E68" s="685"/>
      <c r="F68" s="682"/>
      <c r="G68" s="273">
        <f>ROUND(SUM(G66+G67),2)/100</f>
        <v>256.32689999999997</v>
      </c>
      <c r="H68" s="262"/>
      <c r="I68" s="262"/>
      <c r="J68" s="262"/>
    </row>
    <row r="69" spans="2:10" ht="15.75" thickBot="1"/>
    <row r="70" spans="2:10" ht="15.75" thickBot="1">
      <c r="B70" s="696" t="s">
        <v>990</v>
      </c>
      <c r="C70" s="697"/>
      <c r="D70" s="697"/>
      <c r="E70" s="697"/>
      <c r="F70" s="697"/>
      <c r="G70" s="697"/>
      <c r="H70" s="697"/>
      <c r="I70" s="697"/>
      <c r="J70" s="698"/>
    </row>
    <row r="71" spans="2:10" ht="15" customHeight="1">
      <c r="B71" s="699" t="s">
        <v>1713</v>
      </c>
      <c r="C71" s="699"/>
      <c r="D71" s="699"/>
      <c r="E71" s="699"/>
      <c r="F71" s="699"/>
      <c r="G71" s="699"/>
      <c r="H71" s="699"/>
      <c r="I71" s="699"/>
      <c r="J71" s="699"/>
    </row>
    <row r="72" spans="2:10" ht="15.75" thickBot="1">
      <c r="B72" s="699" t="s">
        <v>8</v>
      </c>
      <c r="C72" s="699"/>
      <c r="D72" s="699"/>
      <c r="E72" s="699"/>
      <c r="F72" s="699"/>
      <c r="G72" s="699"/>
      <c r="H72" s="699"/>
      <c r="I72" s="699"/>
      <c r="J72" s="699"/>
    </row>
    <row r="73" spans="2:10">
      <c r="B73" s="700" t="s">
        <v>991</v>
      </c>
      <c r="C73" s="249" t="s">
        <v>992</v>
      </c>
      <c r="D73" s="250">
        <v>6</v>
      </c>
      <c r="E73" s="251" t="s">
        <v>993</v>
      </c>
      <c r="F73" s="252">
        <v>2017</v>
      </c>
      <c r="G73" s="253"/>
      <c r="H73" s="253"/>
      <c r="I73" s="251" t="s">
        <v>994</v>
      </c>
      <c r="J73" s="306" t="s">
        <v>1918</v>
      </c>
    </row>
    <row r="74" spans="2:10">
      <c r="B74" s="701"/>
      <c r="C74" s="255" t="s">
        <v>995</v>
      </c>
      <c r="D74" s="704" t="s">
        <v>1027</v>
      </c>
      <c r="E74" s="704"/>
      <c r="F74" s="256"/>
      <c r="G74" s="256"/>
      <c r="H74" s="256"/>
      <c r="I74" s="256"/>
      <c r="J74" s="257"/>
    </row>
    <row r="75" spans="2:10">
      <c r="B75" s="701"/>
      <c r="C75" s="255" t="s">
        <v>997</v>
      </c>
      <c r="D75" s="709" t="s">
        <v>1704</v>
      </c>
      <c r="E75" s="707"/>
      <c r="F75" s="707"/>
      <c r="G75" s="707"/>
      <c r="H75" s="707"/>
      <c r="I75" s="707"/>
      <c r="J75" s="708"/>
    </row>
    <row r="76" spans="2:10" ht="15.75" thickBot="1">
      <c r="B76" s="702"/>
      <c r="C76" s="258" t="s">
        <v>999</v>
      </c>
      <c r="D76" s="308" t="s">
        <v>610</v>
      </c>
      <c r="E76" s="260"/>
      <c r="F76" s="260"/>
      <c r="G76" s="260"/>
      <c r="H76" s="260"/>
      <c r="I76" s="260"/>
      <c r="J76" s="261"/>
    </row>
    <row r="77" spans="2:10">
      <c r="B77" s="262"/>
      <c r="C77" s="262"/>
      <c r="D77" s="262"/>
      <c r="E77" s="262"/>
      <c r="F77" s="262"/>
      <c r="G77" s="262"/>
      <c r="H77" s="262"/>
      <c r="I77" s="262"/>
      <c r="J77" s="262"/>
    </row>
    <row r="78" spans="2:10" ht="30">
      <c r="B78" s="263" t="s">
        <v>1001</v>
      </c>
      <c r="C78" s="264" t="s">
        <v>1002</v>
      </c>
      <c r="D78" s="264" t="s">
        <v>1003</v>
      </c>
      <c r="E78" s="265" t="s">
        <v>1004</v>
      </c>
      <c r="F78" s="265" t="s">
        <v>1005</v>
      </c>
      <c r="G78" s="265" t="s">
        <v>1006</v>
      </c>
      <c r="H78" s="265" t="s">
        <v>1007</v>
      </c>
      <c r="I78" s="265" t="s">
        <v>1008</v>
      </c>
      <c r="J78" s="265" t="s">
        <v>1009</v>
      </c>
    </row>
    <row r="79" spans="2:10">
      <c r="B79" s="295" t="s">
        <v>1101</v>
      </c>
      <c r="C79" s="267" t="s">
        <v>897</v>
      </c>
      <c r="D79" s="267">
        <v>88309</v>
      </c>
      <c r="E79" s="268">
        <v>0.08</v>
      </c>
      <c r="F79" s="268">
        <v>1</v>
      </c>
      <c r="G79" s="541">
        <f>(18.62/1.915)</f>
        <v>9.7232375979112273</v>
      </c>
      <c r="H79" s="268">
        <v>0</v>
      </c>
      <c r="I79" s="268">
        <f>ROUND(G79*(1+$J$10),2)</f>
        <v>18.62</v>
      </c>
      <c r="J79" s="269">
        <f>I79*E79</f>
        <v>1.4896</v>
      </c>
    </row>
    <row r="80" spans="2:10">
      <c r="B80" s="295" t="s">
        <v>1102</v>
      </c>
      <c r="C80" s="267" t="s">
        <v>897</v>
      </c>
      <c r="D80" s="267">
        <v>88316</v>
      </c>
      <c r="E80" s="268">
        <v>0.8</v>
      </c>
      <c r="F80" s="268">
        <v>1</v>
      </c>
      <c r="G80" s="268">
        <v>7.16</v>
      </c>
      <c r="H80" s="268">
        <v>0</v>
      </c>
      <c r="I80" s="268">
        <f>ROUND(G80*(1+$J$10),2)</f>
        <v>13.71</v>
      </c>
      <c r="J80" s="269">
        <f>I80*E80</f>
        <v>10.968000000000002</v>
      </c>
    </row>
    <row r="81" spans="2:10">
      <c r="B81" s="266"/>
      <c r="C81" s="267"/>
      <c r="D81" s="267"/>
      <c r="E81" s="268"/>
      <c r="F81" s="268"/>
      <c r="G81" s="268"/>
      <c r="H81" s="268">
        <v>0</v>
      </c>
      <c r="I81" s="268">
        <f>ROUND(G81*(1+$J$10),2)</f>
        <v>0</v>
      </c>
      <c r="J81" s="269">
        <f>I81*E81</f>
        <v>0</v>
      </c>
    </row>
    <row r="82" spans="2:10">
      <c r="B82" s="266"/>
      <c r="C82" s="266"/>
      <c r="D82" s="267"/>
      <c r="E82" s="267"/>
      <c r="F82" s="268"/>
      <c r="G82" s="268"/>
      <c r="H82" s="268"/>
      <c r="I82" s="268"/>
      <c r="J82" s="269"/>
    </row>
    <row r="83" spans="2:10">
      <c r="B83" s="686" t="s">
        <v>1011</v>
      </c>
      <c r="C83" s="687"/>
      <c r="D83" s="687"/>
      <c r="E83" s="687"/>
      <c r="F83" s="687"/>
      <c r="G83" s="687"/>
      <c r="H83" s="687"/>
      <c r="I83" s="688"/>
      <c r="J83" s="270">
        <f>ROUND(SUM(J79:J82),2)</f>
        <v>12.46</v>
      </c>
    </row>
    <row r="84" spans="2:10">
      <c r="B84" s="689"/>
      <c r="C84" s="689"/>
      <c r="D84" s="689"/>
      <c r="E84" s="689"/>
      <c r="F84" s="689"/>
      <c r="G84" s="689"/>
      <c r="H84" s="689"/>
      <c r="I84" s="689"/>
      <c r="J84" s="689"/>
    </row>
    <row r="85" spans="2:10" ht="30">
      <c r="B85" s="263" t="s">
        <v>1012</v>
      </c>
      <c r="C85" s="264" t="s">
        <v>1002</v>
      </c>
      <c r="D85" s="264" t="s">
        <v>1003</v>
      </c>
      <c r="E85" s="265" t="s">
        <v>1004</v>
      </c>
      <c r="F85" s="265" t="s">
        <v>1005</v>
      </c>
      <c r="G85" s="265" t="s">
        <v>1006</v>
      </c>
      <c r="H85" s="265" t="s">
        <v>1007</v>
      </c>
      <c r="I85" s="265" t="s">
        <v>1008</v>
      </c>
      <c r="J85" s="265" t="s">
        <v>1009</v>
      </c>
    </row>
    <row r="86" spans="2:10" ht="15" customHeight="1">
      <c r="B86" s="266"/>
      <c r="C86" s="274"/>
      <c r="D86" s="274"/>
      <c r="E86" s="275"/>
      <c r="F86" s="268"/>
      <c r="G86" s="276"/>
      <c r="H86" s="268"/>
      <c r="I86" s="268"/>
      <c r="J86" s="269"/>
    </row>
    <row r="87" spans="2:10">
      <c r="B87" s="266"/>
      <c r="C87" s="274"/>
      <c r="D87" s="274"/>
      <c r="E87" s="275"/>
      <c r="F87" s="268"/>
      <c r="G87" s="276"/>
      <c r="H87" s="268"/>
      <c r="I87" s="268"/>
      <c r="J87" s="269"/>
    </row>
    <row r="88" spans="2:10" ht="17.25" customHeight="1">
      <c r="B88" s="266"/>
      <c r="C88" s="274"/>
      <c r="D88" s="274"/>
      <c r="E88" s="275"/>
      <c r="F88" s="268"/>
      <c r="G88" s="276"/>
      <c r="H88" s="268"/>
      <c r="I88" s="268"/>
      <c r="J88" s="269"/>
    </row>
    <row r="89" spans="2:10">
      <c r="B89" s="266"/>
      <c r="C89" s="274"/>
      <c r="D89" s="274"/>
      <c r="E89" s="275"/>
      <c r="F89" s="268"/>
      <c r="G89" s="276"/>
      <c r="H89" s="268"/>
      <c r="I89" s="268"/>
      <c r="J89" s="269"/>
    </row>
    <row r="90" spans="2:10">
      <c r="B90" s="266"/>
      <c r="C90" s="274"/>
      <c r="D90" s="274"/>
      <c r="E90" s="275"/>
      <c r="F90" s="268"/>
      <c r="G90" s="276"/>
      <c r="H90" s="268"/>
      <c r="I90" s="268"/>
      <c r="J90" s="269"/>
    </row>
    <row r="91" spans="2:10">
      <c r="B91" s="266"/>
      <c r="C91" s="274"/>
      <c r="D91" s="274"/>
      <c r="E91" s="275"/>
      <c r="F91" s="268"/>
      <c r="G91" s="276"/>
      <c r="H91" s="268"/>
      <c r="I91" s="268"/>
      <c r="J91" s="269"/>
    </row>
    <row r="92" spans="2:10">
      <c r="B92" s="266"/>
      <c r="C92" s="274"/>
      <c r="D92" s="274"/>
      <c r="E92" s="275"/>
      <c r="F92" s="268"/>
      <c r="G92" s="276"/>
      <c r="H92" s="268"/>
      <c r="I92" s="268"/>
      <c r="J92" s="269"/>
    </row>
    <row r="93" spans="2:10">
      <c r="B93" s="266"/>
      <c r="C93" s="274"/>
      <c r="D93" s="274"/>
      <c r="E93" s="275"/>
      <c r="F93" s="268"/>
      <c r="G93" s="276"/>
      <c r="H93" s="268"/>
      <c r="I93" s="268"/>
      <c r="J93" s="269"/>
    </row>
    <row r="94" spans="2:10">
      <c r="B94" s="266"/>
      <c r="C94" s="274"/>
      <c r="D94" s="274"/>
      <c r="E94" s="275"/>
      <c r="F94" s="268"/>
      <c r="G94" s="276"/>
      <c r="H94" s="268"/>
      <c r="I94" s="268"/>
      <c r="J94" s="269"/>
    </row>
    <row r="95" spans="2:10">
      <c r="B95" s="266"/>
      <c r="C95" s="274"/>
      <c r="D95" s="274"/>
      <c r="E95" s="275"/>
      <c r="F95" s="268"/>
      <c r="G95" s="276"/>
      <c r="H95" s="268"/>
      <c r="I95" s="268"/>
      <c r="J95" s="269"/>
    </row>
    <row r="96" spans="2:10">
      <c r="B96" s="266"/>
      <c r="C96" s="274"/>
      <c r="D96" s="274"/>
      <c r="E96" s="275"/>
      <c r="F96" s="268"/>
      <c r="G96" s="276"/>
      <c r="H96" s="268"/>
      <c r="I96" s="268"/>
      <c r="J96" s="269"/>
    </row>
    <row r="97" spans="2:10">
      <c r="B97" s="266"/>
      <c r="C97" s="274"/>
      <c r="D97" s="274"/>
      <c r="E97" s="275"/>
      <c r="F97" s="268"/>
      <c r="G97" s="276"/>
      <c r="H97" s="268"/>
      <c r="I97" s="268"/>
      <c r="J97" s="269"/>
    </row>
    <row r="98" spans="2:10">
      <c r="B98" s="266"/>
      <c r="C98" s="274"/>
      <c r="D98" s="274"/>
      <c r="E98" s="275"/>
      <c r="F98" s="268"/>
      <c r="G98" s="276"/>
      <c r="H98" s="268"/>
      <c r="I98" s="268"/>
      <c r="J98" s="269"/>
    </row>
    <row r="99" spans="2:10">
      <c r="B99" s="266"/>
      <c r="C99" s="274"/>
      <c r="D99" s="274"/>
      <c r="E99" s="275"/>
      <c r="F99" s="268"/>
      <c r="G99" s="276"/>
      <c r="H99" s="268"/>
      <c r="I99" s="268"/>
      <c r="J99" s="269"/>
    </row>
    <row r="100" spans="2:10">
      <c r="B100" s="266"/>
      <c r="C100" s="274"/>
      <c r="D100" s="274"/>
      <c r="E100" s="275"/>
      <c r="F100" s="268"/>
      <c r="G100" s="276"/>
      <c r="H100" s="268"/>
      <c r="I100" s="268"/>
      <c r="J100" s="269"/>
    </row>
    <row r="101" spans="2:10">
      <c r="B101" s="266"/>
      <c r="C101" s="274"/>
      <c r="D101" s="274"/>
      <c r="E101" s="275"/>
      <c r="F101" s="268"/>
      <c r="G101" s="276"/>
      <c r="H101" s="268"/>
      <c r="I101" s="268"/>
      <c r="J101" s="269"/>
    </row>
    <row r="102" spans="2:10">
      <c r="B102" s="266"/>
      <c r="C102" s="274"/>
      <c r="D102" s="274"/>
      <c r="E102" s="275"/>
      <c r="F102" s="268"/>
      <c r="G102" s="276"/>
      <c r="H102" s="268"/>
      <c r="I102" s="268"/>
      <c r="J102" s="269"/>
    </row>
    <row r="103" spans="2:10">
      <c r="B103" s="266"/>
      <c r="C103" s="274"/>
      <c r="D103" s="274"/>
      <c r="E103" s="275"/>
      <c r="F103" s="268"/>
      <c r="G103" s="276"/>
      <c r="H103" s="268"/>
      <c r="I103" s="268"/>
      <c r="J103" s="269"/>
    </row>
    <row r="104" spans="2:10">
      <c r="B104" s="266"/>
      <c r="C104" s="274"/>
      <c r="D104" s="274"/>
      <c r="E104" s="275"/>
      <c r="F104" s="268"/>
      <c r="G104" s="276"/>
      <c r="H104" s="268"/>
      <c r="I104" s="268"/>
      <c r="J104" s="269"/>
    </row>
    <row r="105" spans="2:10">
      <c r="B105" s="266"/>
      <c r="C105" s="266"/>
      <c r="D105" s="267"/>
      <c r="E105" s="267"/>
      <c r="F105" s="268"/>
      <c r="G105" s="268"/>
      <c r="H105" s="268"/>
      <c r="I105" s="268"/>
      <c r="J105" s="269"/>
    </row>
    <row r="106" spans="2:10">
      <c r="B106" s="686" t="s">
        <v>1011</v>
      </c>
      <c r="C106" s="687"/>
      <c r="D106" s="687"/>
      <c r="E106" s="687"/>
      <c r="F106" s="687"/>
      <c r="G106" s="687"/>
      <c r="H106" s="687"/>
      <c r="I106" s="688"/>
      <c r="J106" s="270">
        <f>ROUND(SUM(J86:J105),2)</f>
        <v>0</v>
      </c>
    </row>
    <row r="107" spans="2:10">
      <c r="B107" s="690"/>
      <c r="C107" s="690"/>
      <c r="D107" s="690"/>
      <c r="E107" s="690"/>
      <c r="F107" s="690"/>
      <c r="G107" s="690"/>
      <c r="H107" s="690"/>
      <c r="I107" s="690"/>
      <c r="J107" s="690"/>
    </row>
    <row r="108" spans="2:10" ht="30">
      <c r="B108" s="263" t="s">
        <v>1013</v>
      </c>
      <c r="C108" s="264" t="s">
        <v>1002</v>
      </c>
      <c r="D108" s="264" t="s">
        <v>1003</v>
      </c>
      <c r="E108" s="265" t="s">
        <v>1004</v>
      </c>
      <c r="F108" s="265" t="s">
        <v>1005</v>
      </c>
      <c r="G108" s="265" t="s">
        <v>1006</v>
      </c>
      <c r="H108" s="265" t="s">
        <v>1007</v>
      </c>
      <c r="I108" s="265" t="s">
        <v>1008</v>
      </c>
      <c r="J108" s="265" t="s">
        <v>1009</v>
      </c>
    </row>
    <row r="109" spans="2:10">
      <c r="B109" s="266"/>
      <c r="C109" s="267"/>
      <c r="D109" s="267"/>
      <c r="E109" s="268"/>
      <c r="F109" s="268"/>
      <c r="G109" s="268"/>
      <c r="H109" s="268"/>
      <c r="I109" s="268"/>
      <c r="J109" s="271"/>
    </row>
    <row r="110" spans="2:10">
      <c r="B110" s="266"/>
      <c r="C110" s="267"/>
      <c r="D110" s="267"/>
      <c r="E110" s="268"/>
      <c r="F110" s="268"/>
      <c r="G110" s="268"/>
      <c r="H110" s="268"/>
      <c r="I110" s="268"/>
      <c r="J110" s="271"/>
    </row>
    <row r="111" spans="2:10">
      <c r="B111" s="266"/>
      <c r="C111" s="267"/>
      <c r="D111" s="267"/>
      <c r="E111" s="268"/>
      <c r="F111" s="268"/>
      <c r="G111" s="268"/>
      <c r="H111" s="268"/>
      <c r="I111" s="268"/>
      <c r="J111" s="271"/>
    </row>
    <row r="112" spans="2:10">
      <c r="B112" s="266"/>
      <c r="C112" s="266"/>
      <c r="D112" s="267"/>
      <c r="E112" s="267"/>
      <c r="F112" s="268"/>
      <c r="G112" s="268"/>
      <c r="H112" s="268"/>
      <c r="I112" s="268"/>
      <c r="J112" s="271"/>
    </row>
    <row r="113" spans="2:10">
      <c r="B113" s="686" t="s">
        <v>1011</v>
      </c>
      <c r="C113" s="687"/>
      <c r="D113" s="687"/>
      <c r="E113" s="687"/>
      <c r="F113" s="687"/>
      <c r="G113" s="687"/>
      <c r="H113" s="687"/>
      <c r="I113" s="688"/>
      <c r="J113" s="270">
        <f>ROUND(SUM(J109:J112),2)</f>
        <v>0</v>
      </c>
    </row>
    <row r="114" spans="2:10">
      <c r="B114" s="262"/>
      <c r="C114" s="262"/>
      <c r="D114" s="262"/>
      <c r="E114" s="262"/>
      <c r="F114" s="262"/>
      <c r="G114" s="262"/>
      <c r="H114" s="262"/>
      <c r="I114" s="262"/>
      <c r="J114" s="262"/>
    </row>
    <row r="115" spans="2:10">
      <c r="B115" s="691" t="s">
        <v>1014</v>
      </c>
      <c r="C115" s="691"/>
      <c r="D115" s="691"/>
      <c r="E115" s="691"/>
      <c r="F115" s="691"/>
      <c r="G115" s="691"/>
      <c r="H115" s="262"/>
      <c r="I115" s="262"/>
      <c r="J115" s="262"/>
    </row>
    <row r="116" spans="2:10">
      <c r="B116" s="692" t="s">
        <v>1015</v>
      </c>
      <c r="C116" s="693"/>
      <c r="D116" s="693"/>
      <c r="E116" s="694"/>
      <c r="F116" s="265" t="s">
        <v>1016</v>
      </c>
      <c r="G116" s="265" t="s">
        <v>1017</v>
      </c>
      <c r="H116" s="262"/>
      <c r="I116" s="262"/>
      <c r="J116" s="262"/>
    </row>
    <row r="117" spans="2:10">
      <c r="B117" s="678" t="s">
        <v>1018</v>
      </c>
      <c r="C117" s="679"/>
      <c r="D117" s="679"/>
      <c r="E117" s="680"/>
      <c r="F117" s="681">
        <f>$J$10</f>
        <v>0.91500000000000004</v>
      </c>
      <c r="G117" s="272">
        <f>J83</f>
        <v>12.46</v>
      </c>
      <c r="H117" s="262"/>
      <c r="I117" s="262"/>
      <c r="J117" s="262"/>
    </row>
    <row r="118" spans="2:10">
      <c r="B118" s="678" t="s">
        <v>1019</v>
      </c>
      <c r="C118" s="679"/>
      <c r="D118" s="679"/>
      <c r="E118" s="680"/>
      <c r="F118" s="695"/>
      <c r="G118" s="272">
        <f>J106</f>
        <v>0</v>
      </c>
      <c r="H118" s="262"/>
      <c r="I118" s="262"/>
      <c r="J118" s="262"/>
    </row>
    <row r="119" spans="2:10">
      <c r="B119" s="678" t="s">
        <v>1020</v>
      </c>
      <c r="C119" s="679"/>
      <c r="D119" s="679"/>
      <c r="E119" s="680"/>
      <c r="F119" s="695"/>
      <c r="G119" s="272">
        <f>J113</f>
        <v>0</v>
      </c>
      <c r="H119" s="262"/>
      <c r="I119" s="262"/>
      <c r="J119" s="262"/>
    </row>
    <row r="120" spans="2:10">
      <c r="B120" s="678" t="s">
        <v>1021</v>
      </c>
      <c r="C120" s="679"/>
      <c r="D120" s="679"/>
      <c r="E120" s="680"/>
      <c r="F120" s="695"/>
      <c r="G120" s="272">
        <v>1</v>
      </c>
      <c r="H120" s="262"/>
      <c r="I120" s="262"/>
      <c r="J120" s="262"/>
    </row>
    <row r="121" spans="2:10">
      <c r="B121" s="678" t="s">
        <v>1022</v>
      </c>
      <c r="C121" s="679"/>
      <c r="D121" s="679"/>
      <c r="E121" s="680"/>
      <c r="F121" s="695"/>
      <c r="G121" s="272">
        <f>G117+G119</f>
        <v>12.46</v>
      </c>
      <c r="H121" s="262"/>
      <c r="I121" s="262"/>
      <c r="J121" s="262"/>
    </row>
    <row r="122" spans="2:10">
      <c r="B122" s="678" t="s">
        <v>1023</v>
      </c>
      <c r="C122" s="679"/>
      <c r="D122" s="679"/>
      <c r="E122" s="680"/>
      <c r="F122" s="695"/>
      <c r="G122" s="272">
        <f>G121/G120</f>
        <v>12.46</v>
      </c>
      <c r="H122" s="262"/>
      <c r="I122" s="262"/>
      <c r="J122" s="262"/>
    </row>
    <row r="123" spans="2:10">
      <c r="B123" s="678" t="s">
        <v>1024</v>
      </c>
      <c r="C123" s="679"/>
      <c r="D123" s="679"/>
      <c r="E123" s="680"/>
      <c r="F123" s="682"/>
      <c r="G123" s="272">
        <f>G118+G122</f>
        <v>12.46</v>
      </c>
      <c r="H123" s="262"/>
      <c r="I123" s="262"/>
      <c r="J123" s="262"/>
    </row>
    <row r="124" spans="2:10">
      <c r="B124" s="678" t="s">
        <v>1025</v>
      </c>
      <c r="C124" s="679"/>
      <c r="D124" s="679"/>
      <c r="E124" s="680"/>
      <c r="F124" s="681">
        <f>$J$11</f>
        <v>0.28220000000000001</v>
      </c>
      <c r="G124" s="272">
        <f>G123*F124</f>
        <v>3.5162120000000003</v>
      </c>
      <c r="H124" s="262"/>
      <c r="I124" s="262"/>
      <c r="J124" s="262"/>
    </row>
    <row r="125" spans="2:10">
      <c r="B125" s="683" t="s">
        <v>1026</v>
      </c>
      <c r="C125" s="684"/>
      <c r="D125" s="684"/>
      <c r="E125" s="685"/>
      <c r="F125" s="682"/>
      <c r="G125" s="273">
        <f>ROUND(SUM(G123+G124),2)</f>
        <v>15.98</v>
      </c>
      <c r="H125" s="262"/>
      <c r="I125" s="262"/>
      <c r="J125" s="262"/>
    </row>
    <row r="126" spans="2:10" ht="15.75" thickBot="1"/>
    <row r="127" spans="2:10" ht="15.75" thickBot="1">
      <c r="B127" s="696" t="s">
        <v>990</v>
      </c>
      <c r="C127" s="697"/>
      <c r="D127" s="697"/>
      <c r="E127" s="697"/>
      <c r="F127" s="697"/>
      <c r="G127" s="697"/>
      <c r="H127" s="697"/>
      <c r="I127" s="697"/>
      <c r="J127" s="698"/>
    </row>
    <row r="128" spans="2:10">
      <c r="B128" s="699" t="s">
        <v>1713</v>
      </c>
      <c r="C128" s="699"/>
      <c r="D128" s="699"/>
      <c r="E128" s="699"/>
      <c r="F128" s="699"/>
      <c r="G128" s="699"/>
      <c r="H128" s="699"/>
      <c r="I128" s="699"/>
      <c r="J128" s="699"/>
    </row>
    <row r="129" spans="2:10" ht="15.75" thickBot="1">
      <c r="B129" s="699" t="s">
        <v>8</v>
      </c>
      <c r="C129" s="699"/>
      <c r="D129" s="699"/>
      <c r="E129" s="699"/>
      <c r="F129" s="699"/>
      <c r="G129" s="699"/>
      <c r="H129" s="699"/>
      <c r="I129" s="699"/>
      <c r="J129" s="699"/>
    </row>
    <row r="130" spans="2:10">
      <c r="B130" s="700" t="s">
        <v>991</v>
      </c>
      <c r="C130" s="249" t="s">
        <v>992</v>
      </c>
      <c r="D130" s="250">
        <v>6</v>
      </c>
      <c r="E130" s="251" t="s">
        <v>993</v>
      </c>
      <c r="F130" s="252">
        <v>2017</v>
      </c>
      <c r="G130" s="253"/>
      <c r="H130" s="253"/>
      <c r="I130" s="251" t="s">
        <v>994</v>
      </c>
      <c r="J130" s="306" t="s">
        <v>1918</v>
      </c>
    </row>
    <row r="131" spans="2:10">
      <c r="B131" s="701"/>
      <c r="C131" s="255" t="s">
        <v>995</v>
      </c>
      <c r="D131" s="704" t="s">
        <v>1048</v>
      </c>
      <c r="E131" s="704"/>
      <c r="F131" s="256"/>
      <c r="G131" s="256"/>
      <c r="H131" s="256"/>
      <c r="I131" s="256"/>
      <c r="J131" s="257"/>
    </row>
    <row r="132" spans="2:10">
      <c r="B132" s="701"/>
      <c r="C132" s="255" t="s">
        <v>997</v>
      </c>
      <c r="D132" s="709" t="s">
        <v>1699</v>
      </c>
      <c r="E132" s="707"/>
      <c r="F132" s="707"/>
      <c r="G132" s="707"/>
      <c r="H132" s="707"/>
      <c r="I132" s="707"/>
      <c r="J132" s="708"/>
    </row>
    <row r="133" spans="2:10" ht="15.75" thickBot="1">
      <c r="B133" s="702"/>
      <c r="C133" s="258" t="s">
        <v>999</v>
      </c>
      <c r="D133" s="259" t="s">
        <v>543</v>
      </c>
      <c r="E133" s="260"/>
      <c r="F133" s="260"/>
      <c r="G133" s="260"/>
      <c r="H133" s="260"/>
      <c r="I133" s="260"/>
      <c r="J133" s="261"/>
    </row>
    <row r="134" spans="2:10">
      <c r="B134" s="262"/>
      <c r="C134" s="262"/>
      <c r="D134" s="262"/>
      <c r="E134" s="262"/>
      <c r="F134" s="262"/>
      <c r="G134" s="262"/>
      <c r="H134" s="262"/>
      <c r="I134" s="262"/>
      <c r="J134" s="262"/>
    </row>
    <row r="135" spans="2:10" ht="30">
      <c r="B135" s="263" t="s">
        <v>1001</v>
      </c>
      <c r="C135" s="264" t="s">
        <v>1002</v>
      </c>
      <c r="D135" s="264" t="s">
        <v>1003</v>
      </c>
      <c r="E135" s="265" t="s">
        <v>1004</v>
      </c>
      <c r="F135" s="265" t="s">
        <v>1005</v>
      </c>
      <c r="G135" s="265" t="s">
        <v>1006</v>
      </c>
      <c r="H135" s="265" t="s">
        <v>1007</v>
      </c>
      <c r="I135" s="265" t="s">
        <v>1008</v>
      </c>
      <c r="J135" s="265" t="s">
        <v>1009</v>
      </c>
    </row>
    <row r="136" spans="2:10">
      <c r="B136" s="295" t="s">
        <v>1102</v>
      </c>
      <c r="C136" s="267" t="s">
        <v>897</v>
      </c>
      <c r="D136" s="267">
        <v>88316</v>
      </c>
      <c r="E136" s="268">
        <v>0.25</v>
      </c>
      <c r="F136" s="268">
        <v>1</v>
      </c>
      <c r="G136" s="268">
        <v>7.16</v>
      </c>
      <c r="H136" s="268">
        <v>0</v>
      </c>
      <c r="I136" s="268">
        <f>ROUND(G136*(1+$J$10),2)</f>
        <v>13.71</v>
      </c>
      <c r="J136" s="269">
        <f>I136*E136</f>
        <v>3.4275000000000002</v>
      </c>
    </row>
    <row r="137" spans="2:10">
      <c r="B137" s="266"/>
      <c r="C137" s="267"/>
      <c r="D137" s="267"/>
      <c r="E137" s="268"/>
      <c r="F137" s="268"/>
      <c r="G137" s="268"/>
      <c r="H137" s="268"/>
      <c r="I137" s="268"/>
      <c r="J137" s="269"/>
    </row>
    <row r="138" spans="2:10">
      <c r="B138" s="266"/>
      <c r="C138" s="267"/>
      <c r="D138" s="267"/>
      <c r="E138" s="268"/>
      <c r="F138" s="268"/>
      <c r="G138" s="268"/>
      <c r="H138" s="268"/>
      <c r="I138" s="268"/>
      <c r="J138" s="269"/>
    </row>
    <row r="139" spans="2:10">
      <c r="B139" s="266"/>
      <c r="C139" s="267"/>
      <c r="D139" s="267"/>
      <c r="E139" s="268"/>
      <c r="F139" s="268"/>
      <c r="G139" s="268"/>
      <c r="H139" s="268"/>
      <c r="I139" s="268"/>
      <c r="J139" s="269"/>
    </row>
    <row r="140" spans="2:10">
      <c r="B140" s="266"/>
      <c r="C140" s="267"/>
      <c r="D140" s="267"/>
      <c r="E140" s="268"/>
      <c r="F140" s="268"/>
      <c r="G140" s="268"/>
      <c r="H140" s="268"/>
      <c r="I140" s="268"/>
      <c r="J140" s="269"/>
    </row>
    <row r="141" spans="2:10">
      <c r="B141" s="266"/>
      <c r="C141" s="266"/>
      <c r="D141" s="267"/>
      <c r="E141" s="267"/>
      <c r="F141" s="268"/>
      <c r="G141" s="268"/>
      <c r="H141" s="268"/>
      <c r="I141" s="268"/>
      <c r="J141" s="269"/>
    </row>
    <row r="142" spans="2:10">
      <c r="B142" s="686" t="s">
        <v>1011</v>
      </c>
      <c r="C142" s="687"/>
      <c r="D142" s="687"/>
      <c r="E142" s="687"/>
      <c r="F142" s="687"/>
      <c r="G142" s="687"/>
      <c r="H142" s="687"/>
      <c r="I142" s="688"/>
      <c r="J142" s="270">
        <f>ROUND(SUM(J136:J141),2)</f>
        <v>3.43</v>
      </c>
    </row>
    <row r="143" spans="2:10">
      <c r="B143" s="689"/>
      <c r="C143" s="689"/>
      <c r="D143" s="689"/>
      <c r="E143" s="689"/>
      <c r="F143" s="689"/>
      <c r="G143" s="689"/>
      <c r="H143" s="689"/>
      <c r="I143" s="689"/>
      <c r="J143" s="689"/>
    </row>
    <row r="144" spans="2:10" ht="30">
      <c r="B144" s="263" t="s">
        <v>1012</v>
      </c>
      <c r="C144" s="264" t="s">
        <v>1002</v>
      </c>
      <c r="D144" s="264" t="s">
        <v>1003</v>
      </c>
      <c r="E144" s="265" t="s">
        <v>1004</v>
      </c>
      <c r="F144" s="265" t="s">
        <v>1005</v>
      </c>
      <c r="G144" s="265" t="s">
        <v>1006</v>
      </c>
      <c r="H144" s="265" t="s">
        <v>1007</v>
      </c>
      <c r="I144" s="265" t="s">
        <v>1008</v>
      </c>
      <c r="J144" s="265" t="s">
        <v>1009</v>
      </c>
    </row>
    <row r="145" spans="2:10">
      <c r="B145" s="266"/>
      <c r="C145" s="267"/>
      <c r="D145" s="267"/>
      <c r="E145" s="268"/>
      <c r="F145" s="268"/>
      <c r="G145" s="268"/>
      <c r="H145" s="268"/>
      <c r="I145" s="268"/>
      <c r="J145" s="269"/>
    </row>
    <row r="146" spans="2:10" ht="30">
      <c r="B146" s="295" t="s">
        <v>1964</v>
      </c>
      <c r="C146" s="296" t="s">
        <v>1963</v>
      </c>
      <c r="D146" s="267">
        <v>3767</v>
      </c>
      <c r="E146" s="268">
        <v>0.25</v>
      </c>
      <c r="F146" s="268">
        <v>1</v>
      </c>
      <c r="G146" s="268">
        <v>0.66</v>
      </c>
      <c r="H146" s="268"/>
      <c r="I146" s="268">
        <f>G146</f>
        <v>0.66</v>
      </c>
      <c r="J146" s="269">
        <f>I146*E146</f>
        <v>0.16500000000000001</v>
      </c>
    </row>
    <row r="147" spans="2:10">
      <c r="B147" s="295"/>
      <c r="C147" s="296"/>
      <c r="D147" s="267"/>
      <c r="E147" s="268"/>
      <c r="F147" s="268"/>
      <c r="G147" s="268"/>
      <c r="H147" s="268"/>
      <c r="I147" s="268"/>
      <c r="J147" s="269"/>
    </row>
    <row r="148" spans="2:10">
      <c r="B148" s="266"/>
      <c r="C148" s="267"/>
      <c r="D148" s="267"/>
      <c r="E148" s="268"/>
      <c r="F148" s="268"/>
      <c r="G148" s="268"/>
      <c r="H148" s="268"/>
      <c r="I148" s="268"/>
      <c r="J148" s="269"/>
    </row>
    <row r="149" spans="2:10">
      <c r="B149" s="266"/>
      <c r="C149" s="266"/>
      <c r="D149" s="267"/>
      <c r="E149" s="267"/>
      <c r="F149" s="268"/>
      <c r="G149" s="268"/>
      <c r="H149" s="268"/>
      <c r="I149" s="268"/>
      <c r="J149" s="269"/>
    </row>
    <row r="150" spans="2:10">
      <c r="B150" s="266"/>
      <c r="C150" s="266"/>
      <c r="D150" s="267"/>
      <c r="E150" s="267"/>
      <c r="F150" s="268"/>
      <c r="G150" s="268"/>
      <c r="H150" s="268"/>
      <c r="I150" s="268"/>
      <c r="J150" s="269"/>
    </row>
    <row r="151" spans="2:10">
      <c r="B151" s="266"/>
      <c r="C151" s="266"/>
      <c r="D151" s="267"/>
      <c r="E151" s="267"/>
      <c r="F151" s="268"/>
      <c r="G151" s="268"/>
      <c r="H151" s="268"/>
      <c r="I151" s="268"/>
      <c r="J151" s="269"/>
    </row>
    <row r="152" spans="2:10">
      <c r="B152" s="266"/>
      <c r="C152" s="266"/>
      <c r="D152" s="267"/>
      <c r="E152" s="267"/>
      <c r="F152" s="268"/>
      <c r="G152" s="268"/>
      <c r="H152" s="268"/>
      <c r="I152" s="268"/>
      <c r="J152" s="269"/>
    </row>
    <row r="153" spans="2:10">
      <c r="B153" s="266"/>
      <c r="C153" s="266"/>
      <c r="D153" s="267"/>
      <c r="E153" s="267"/>
      <c r="F153" s="268"/>
      <c r="G153" s="268"/>
      <c r="H153" s="268"/>
      <c r="I153" s="268"/>
      <c r="J153" s="269"/>
    </row>
    <row r="154" spans="2:10">
      <c r="B154" s="266"/>
      <c r="C154" s="266"/>
      <c r="D154" s="267"/>
      <c r="E154" s="267"/>
      <c r="F154" s="268"/>
      <c r="G154" s="268"/>
      <c r="H154" s="268"/>
      <c r="I154" s="268"/>
      <c r="J154" s="269"/>
    </row>
    <row r="155" spans="2:10">
      <c r="B155" s="266"/>
      <c r="C155" s="266"/>
      <c r="D155" s="267"/>
      <c r="E155" s="267"/>
      <c r="F155" s="268"/>
      <c r="G155" s="268"/>
      <c r="H155" s="268"/>
      <c r="I155" s="268"/>
      <c r="J155" s="269"/>
    </row>
    <row r="156" spans="2:10">
      <c r="B156" s="266"/>
      <c r="C156" s="266"/>
      <c r="D156" s="267"/>
      <c r="E156" s="267"/>
      <c r="F156" s="268"/>
      <c r="G156" s="268"/>
      <c r="H156" s="268"/>
      <c r="I156" s="268"/>
      <c r="J156" s="269"/>
    </row>
    <row r="157" spans="2:10">
      <c r="B157" s="266"/>
      <c r="C157" s="266"/>
      <c r="D157" s="267"/>
      <c r="E157" s="267"/>
      <c r="F157" s="268"/>
      <c r="G157" s="268"/>
      <c r="H157" s="268"/>
      <c r="I157" s="268"/>
      <c r="J157" s="269"/>
    </row>
    <row r="158" spans="2:10">
      <c r="B158" s="266"/>
      <c r="C158" s="266"/>
      <c r="D158" s="267"/>
      <c r="E158" s="267"/>
      <c r="F158" s="268"/>
      <c r="G158" s="268"/>
      <c r="H158" s="268"/>
      <c r="I158" s="268"/>
      <c r="J158" s="269"/>
    </row>
    <row r="159" spans="2:10">
      <c r="B159" s="266"/>
      <c r="C159" s="266"/>
      <c r="D159" s="267"/>
      <c r="E159" s="267"/>
      <c r="F159" s="268"/>
      <c r="G159" s="268"/>
      <c r="H159" s="268"/>
      <c r="I159" s="268"/>
      <c r="J159" s="269"/>
    </row>
    <row r="160" spans="2:10">
      <c r="B160" s="266"/>
      <c r="C160" s="266"/>
      <c r="D160" s="267"/>
      <c r="E160" s="267"/>
      <c r="F160" s="268"/>
      <c r="G160" s="268"/>
      <c r="H160" s="268"/>
      <c r="I160" s="268"/>
      <c r="J160" s="269"/>
    </row>
    <row r="161" spans="2:10">
      <c r="B161" s="266"/>
      <c r="C161" s="266"/>
      <c r="D161" s="267"/>
      <c r="E161" s="267"/>
      <c r="F161" s="268"/>
      <c r="G161" s="268"/>
      <c r="H161" s="268"/>
      <c r="I161" s="268"/>
      <c r="J161" s="269"/>
    </row>
    <row r="162" spans="2:10">
      <c r="B162" s="686" t="s">
        <v>1011</v>
      </c>
      <c r="C162" s="687"/>
      <c r="D162" s="687"/>
      <c r="E162" s="687"/>
      <c r="F162" s="687"/>
      <c r="G162" s="687"/>
      <c r="H162" s="687"/>
      <c r="I162" s="688"/>
      <c r="J162" s="270">
        <f>ROUND(SUM(J145:J161),2)</f>
        <v>0.17</v>
      </c>
    </row>
    <row r="163" spans="2:10">
      <c r="B163" s="690"/>
      <c r="C163" s="690"/>
      <c r="D163" s="690"/>
      <c r="E163" s="690"/>
      <c r="F163" s="690"/>
      <c r="G163" s="690"/>
      <c r="H163" s="690"/>
      <c r="I163" s="690"/>
      <c r="J163" s="690"/>
    </row>
    <row r="164" spans="2:10" ht="30">
      <c r="B164" s="263" t="s">
        <v>1013</v>
      </c>
      <c r="C164" s="264" t="s">
        <v>1002</v>
      </c>
      <c r="D164" s="264" t="s">
        <v>1003</v>
      </c>
      <c r="E164" s="265" t="s">
        <v>1004</v>
      </c>
      <c r="F164" s="265" t="s">
        <v>1005</v>
      </c>
      <c r="G164" s="265" t="s">
        <v>1006</v>
      </c>
      <c r="H164" s="265" t="s">
        <v>1007</v>
      </c>
      <c r="I164" s="265" t="s">
        <v>1008</v>
      </c>
      <c r="J164" s="265" t="s">
        <v>1009</v>
      </c>
    </row>
    <row r="165" spans="2:10">
      <c r="B165" s="266"/>
      <c r="C165" s="267"/>
      <c r="D165" s="267"/>
      <c r="E165" s="268"/>
      <c r="F165" s="268"/>
      <c r="G165" s="268"/>
      <c r="H165" s="268"/>
      <c r="I165" s="268"/>
      <c r="J165" s="271"/>
    </row>
    <row r="166" spans="2:10">
      <c r="B166" s="266"/>
      <c r="C166" s="267"/>
      <c r="D166" s="267"/>
      <c r="E166" s="268"/>
      <c r="F166" s="268"/>
      <c r="G166" s="268"/>
      <c r="H166" s="268"/>
      <c r="I166" s="268"/>
      <c r="J166" s="271"/>
    </row>
    <row r="167" spans="2:10">
      <c r="B167" s="266"/>
      <c r="C167" s="267"/>
      <c r="D167" s="267"/>
      <c r="E167" s="268"/>
      <c r="F167" s="268"/>
      <c r="G167" s="268"/>
      <c r="H167" s="268"/>
      <c r="I167" s="268"/>
      <c r="J167" s="271"/>
    </row>
    <row r="168" spans="2:10">
      <c r="B168" s="266"/>
      <c r="C168" s="267"/>
      <c r="D168" s="267"/>
      <c r="E168" s="268"/>
      <c r="F168" s="268"/>
      <c r="G168" s="268"/>
      <c r="H168" s="268"/>
      <c r="I168" s="268"/>
      <c r="J168" s="271"/>
    </row>
    <row r="169" spans="2:10">
      <c r="B169" s="266"/>
      <c r="C169" s="266"/>
      <c r="D169" s="267"/>
      <c r="E169" s="267"/>
      <c r="F169" s="268"/>
      <c r="G169" s="268"/>
      <c r="H169" s="268"/>
      <c r="I169" s="268"/>
      <c r="J169" s="271"/>
    </row>
    <row r="170" spans="2:10">
      <c r="B170" s="686" t="s">
        <v>1011</v>
      </c>
      <c r="C170" s="687"/>
      <c r="D170" s="687"/>
      <c r="E170" s="687"/>
      <c r="F170" s="687"/>
      <c r="G170" s="687"/>
      <c r="H170" s="687"/>
      <c r="I170" s="688"/>
      <c r="J170" s="270">
        <f>ROUND(SUM(J165:J169),2)</f>
        <v>0</v>
      </c>
    </row>
    <row r="171" spans="2:10">
      <c r="B171" s="262"/>
      <c r="C171" s="262"/>
      <c r="D171" s="262"/>
      <c r="E171" s="262"/>
      <c r="F171" s="262"/>
      <c r="G171" s="262"/>
      <c r="H171" s="262"/>
      <c r="I171" s="262"/>
      <c r="J171" s="262"/>
    </row>
    <row r="172" spans="2:10">
      <c r="B172" s="691" t="s">
        <v>1014</v>
      </c>
      <c r="C172" s="691"/>
      <c r="D172" s="691"/>
      <c r="E172" s="691"/>
      <c r="F172" s="691"/>
      <c r="G172" s="691"/>
      <c r="H172" s="262"/>
      <c r="I172" s="262"/>
      <c r="J172" s="262"/>
    </row>
    <row r="173" spans="2:10">
      <c r="B173" s="692" t="s">
        <v>1015</v>
      </c>
      <c r="C173" s="693"/>
      <c r="D173" s="693"/>
      <c r="E173" s="694"/>
      <c r="F173" s="265" t="s">
        <v>1016</v>
      </c>
      <c r="G173" s="265" t="s">
        <v>1017</v>
      </c>
      <c r="H173" s="262"/>
      <c r="I173" s="262"/>
      <c r="J173" s="262"/>
    </row>
    <row r="174" spans="2:10">
      <c r="B174" s="678" t="s">
        <v>1018</v>
      </c>
      <c r="C174" s="679"/>
      <c r="D174" s="679"/>
      <c r="E174" s="680"/>
      <c r="F174" s="681">
        <f>$J$10</f>
        <v>0.91500000000000004</v>
      </c>
      <c r="G174" s="272">
        <f>J142</f>
        <v>3.43</v>
      </c>
      <c r="H174" s="262"/>
      <c r="I174" s="262"/>
      <c r="J174" s="262"/>
    </row>
    <row r="175" spans="2:10">
      <c r="B175" s="678" t="s">
        <v>1019</v>
      </c>
      <c r="C175" s="679"/>
      <c r="D175" s="679"/>
      <c r="E175" s="680"/>
      <c r="F175" s="695"/>
      <c r="G175" s="272">
        <f>J162</f>
        <v>0.17</v>
      </c>
      <c r="H175" s="262"/>
      <c r="I175" s="262"/>
      <c r="J175" s="262"/>
    </row>
    <row r="176" spans="2:10">
      <c r="B176" s="678" t="s">
        <v>1020</v>
      </c>
      <c r="C176" s="679"/>
      <c r="D176" s="679"/>
      <c r="E176" s="680"/>
      <c r="F176" s="695"/>
      <c r="G176" s="272">
        <f>J170</f>
        <v>0</v>
      </c>
      <c r="H176" s="262"/>
      <c r="I176" s="262"/>
      <c r="J176" s="262"/>
    </row>
    <row r="177" spans="2:10">
      <c r="B177" s="678" t="s">
        <v>1021</v>
      </c>
      <c r="C177" s="679"/>
      <c r="D177" s="679"/>
      <c r="E177" s="680"/>
      <c r="F177" s="695"/>
      <c r="G177" s="272">
        <v>1</v>
      </c>
      <c r="H177" s="262"/>
      <c r="I177" s="262"/>
      <c r="J177" s="262"/>
    </row>
    <row r="178" spans="2:10">
      <c r="B178" s="678" t="s">
        <v>1022</v>
      </c>
      <c r="C178" s="679"/>
      <c r="D178" s="679"/>
      <c r="E178" s="680"/>
      <c r="F178" s="695"/>
      <c r="G178" s="272">
        <f>G174+G176</f>
        <v>3.43</v>
      </c>
      <c r="H178" s="262"/>
      <c r="I178" s="262"/>
      <c r="J178" s="262"/>
    </row>
    <row r="179" spans="2:10">
      <c r="B179" s="678" t="s">
        <v>1023</v>
      </c>
      <c r="C179" s="679"/>
      <c r="D179" s="679"/>
      <c r="E179" s="680"/>
      <c r="F179" s="695"/>
      <c r="G179" s="272">
        <f>G178/G177</f>
        <v>3.43</v>
      </c>
      <c r="H179" s="262"/>
      <c r="I179" s="262"/>
      <c r="J179" s="262"/>
    </row>
    <row r="180" spans="2:10">
      <c r="B180" s="678" t="s">
        <v>1024</v>
      </c>
      <c r="C180" s="679"/>
      <c r="D180" s="679"/>
      <c r="E180" s="680"/>
      <c r="F180" s="682"/>
      <c r="G180" s="272">
        <f>G175+G179</f>
        <v>3.6</v>
      </c>
      <c r="H180" s="262"/>
      <c r="I180" s="262"/>
      <c r="J180" s="262"/>
    </row>
    <row r="181" spans="2:10">
      <c r="B181" s="678" t="s">
        <v>1025</v>
      </c>
      <c r="C181" s="679"/>
      <c r="D181" s="679"/>
      <c r="E181" s="680"/>
      <c r="F181" s="681">
        <f>$J$11</f>
        <v>0.28220000000000001</v>
      </c>
      <c r="G181" s="272">
        <f>G180*F181</f>
        <v>1.0159200000000002</v>
      </c>
      <c r="H181" s="262"/>
      <c r="I181" s="262"/>
      <c r="J181" s="262"/>
    </row>
    <row r="182" spans="2:10">
      <c r="B182" s="683" t="s">
        <v>1026</v>
      </c>
      <c r="C182" s="684"/>
      <c r="D182" s="684"/>
      <c r="E182" s="685"/>
      <c r="F182" s="682"/>
      <c r="G182" s="273">
        <f>ROUND(SUM(G180+G181),2)</f>
        <v>4.62</v>
      </c>
      <c r="H182" s="262"/>
      <c r="I182" s="262"/>
      <c r="J182" s="262"/>
    </row>
    <row r="183" spans="2:10" ht="15.75" thickBot="1"/>
    <row r="184" spans="2:10" ht="15.75" thickBot="1">
      <c r="B184" s="696" t="s">
        <v>990</v>
      </c>
      <c r="C184" s="697"/>
      <c r="D184" s="697"/>
      <c r="E184" s="697"/>
      <c r="F184" s="697"/>
      <c r="G184" s="697"/>
      <c r="H184" s="697"/>
      <c r="I184" s="697"/>
      <c r="J184" s="698"/>
    </row>
    <row r="185" spans="2:10">
      <c r="B185" s="699" t="s">
        <v>1713</v>
      </c>
      <c r="C185" s="699"/>
      <c r="D185" s="699"/>
      <c r="E185" s="699"/>
      <c r="F185" s="699"/>
      <c r="G185" s="699"/>
      <c r="H185" s="699"/>
      <c r="I185" s="699"/>
      <c r="J185" s="699"/>
    </row>
    <row r="186" spans="2:10" ht="15.75" thickBot="1">
      <c r="B186" s="699" t="s">
        <v>8</v>
      </c>
      <c r="C186" s="699"/>
      <c r="D186" s="699"/>
      <c r="E186" s="699"/>
      <c r="F186" s="699"/>
      <c r="G186" s="699"/>
      <c r="H186" s="699"/>
      <c r="I186" s="699"/>
      <c r="J186" s="699"/>
    </row>
    <row r="187" spans="2:10">
      <c r="B187" s="700" t="s">
        <v>991</v>
      </c>
      <c r="C187" s="249" t="s">
        <v>992</v>
      </c>
      <c r="D187" s="250">
        <v>6</v>
      </c>
      <c r="E187" s="251" t="s">
        <v>993</v>
      </c>
      <c r="F187" s="252">
        <v>2017</v>
      </c>
      <c r="G187" s="253"/>
      <c r="H187" s="253"/>
      <c r="I187" s="251" t="s">
        <v>994</v>
      </c>
      <c r="J187" s="306" t="s">
        <v>1664</v>
      </c>
    </row>
    <row r="188" spans="2:10">
      <c r="B188" s="701"/>
      <c r="C188" s="255" t="s">
        <v>995</v>
      </c>
      <c r="D188" s="703" t="s">
        <v>1050</v>
      </c>
      <c r="E188" s="704"/>
      <c r="F188" s="256"/>
      <c r="G188" s="256"/>
      <c r="H188" s="256"/>
      <c r="I188" s="256"/>
      <c r="J188" s="257"/>
    </row>
    <row r="189" spans="2:10" ht="31.5" customHeight="1">
      <c r="B189" s="701"/>
      <c r="C189" s="255" t="s">
        <v>997</v>
      </c>
      <c r="D189" s="705" t="s">
        <v>1107</v>
      </c>
      <c r="E189" s="705"/>
      <c r="F189" s="705"/>
      <c r="G189" s="705"/>
      <c r="H189" s="705"/>
      <c r="I189" s="705"/>
      <c r="J189" s="706"/>
    </row>
    <row r="190" spans="2:10" ht="15.75" thickBot="1">
      <c r="B190" s="702"/>
      <c r="C190" s="258" t="s">
        <v>999</v>
      </c>
      <c r="D190" s="259" t="s">
        <v>543</v>
      </c>
      <c r="E190" s="260"/>
      <c r="F190" s="260"/>
      <c r="G190" s="260"/>
      <c r="H190" s="260"/>
      <c r="I190" s="260"/>
      <c r="J190" s="261"/>
    </row>
    <row r="191" spans="2:10">
      <c r="B191" s="262"/>
      <c r="C191" s="262"/>
      <c r="D191" s="262"/>
      <c r="E191" s="262"/>
      <c r="F191" s="262"/>
      <c r="G191" s="262"/>
      <c r="H191" s="262"/>
      <c r="I191" s="262"/>
      <c r="J191" s="262"/>
    </row>
    <row r="192" spans="2:10" ht="30">
      <c r="B192" s="263" t="s">
        <v>1001</v>
      </c>
      <c r="C192" s="264" t="s">
        <v>1002</v>
      </c>
      <c r="D192" s="264" t="s">
        <v>1003</v>
      </c>
      <c r="E192" s="265" t="s">
        <v>1004</v>
      </c>
      <c r="F192" s="265" t="s">
        <v>1005</v>
      </c>
      <c r="G192" s="265" t="s">
        <v>1006</v>
      </c>
      <c r="H192" s="265" t="s">
        <v>1007</v>
      </c>
      <c r="I192" s="265" t="s">
        <v>1008</v>
      </c>
      <c r="J192" s="265" t="s">
        <v>1009</v>
      </c>
    </row>
    <row r="193" spans="2:10">
      <c r="B193" s="295" t="s">
        <v>1101</v>
      </c>
      <c r="C193" s="267" t="s">
        <v>897</v>
      </c>
      <c r="D193" s="267">
        <v>88309</v>
      </c>
      <c r="E193" s="268">
        <v>0.17</v>
      </c>
      <c r="F193" s="268">
        <v>1</v>
      </c>
      <c r="G193" s="541">
        <f>(18.62/1.915)</f>
        <v>9.7232375979112273</v>
      </c>
      <c r="H193" s="268">
        <v>0</v>
      </c>
      <c r="I193" s="268">
        <f>ROUND(G193*(1+$J$10),2)</f>
        <v>18.62</v>
      </c>
      <c r="J193" s="269">
        <f>I193*E193</f>
        <v>3.1654000000000004</v>
      </c>
    </row>
    <row r="194" spans="2:10">
      <c r="B194" s="295" t="s">
        <v>1102</v>
      </c>
      <c r="C194" s="267" t="s">
        <v>897</v>
      </c>
      <c r="D194" s="267">
        <v>88316</v>
      </c>
      <c r="E194" s="268">
        <v>0.17</v>
      </c>
      <c r="F194" s="268">
        <v>1</v>
      </c>
      <c r="G194" s="268">
        <v>7.16</v>
      </c>
      <c r="H194" s="268">
        <v>0</v>
      </c>
      <c r="I194" s="268">
        <f>ROUND(G194*(1+$J$10),2)</f>
        <v>13.71</v>
      </c>
      <c r="J194" s="269">
        <f>I194*E194</f>
        <v>2.3307000000000002</v>
      </c>
    </row>
    <row r="195" spans="2:10">
      <c r="B195" s="266"/>
      <c r="C195" s="267"/>
      <c r="D195" s="267"/>
      <c r="E195" s="268"/>
      <c r="F195" s="268"/>
      <c r="G195" s="268"/>
      <c r="H195" s="268">
        <v>0</v>
      </c>
      <c r="I195" s="268">
        <f>ROUND(G195*(1+$J$10),2)</f>
        <v>0</v>
      </c>
      <c r="J195" s="269">
        <f>I195*E195</f>
        <v>0</v>
      </c>
    </row>
    <row r="196" spans="2:10">
      <c r="B196" s="266"/>
      <c r="C196" s="267"/>
      <c r="D196" s="267"/>
      <c r="E196" s="268"/>
      <c r="F196" s="268"/>
      <c r="G196" s="268"/>
      <c r="H196" s="268"/>
      <c r="I196" s="268"/>
      <c r="J196" s="269"/>
    </row>
    <row r="197" spans="2:10">
      <c r="B197" s="266"/>
      <c r="C197" s="267"/>
      <c r="D197" s="267"/>
      <c r="E197" s="268"/>
      <c r="F197" s="268"/>
      <c r="G197" s="268"/>
      <c r="H197" s="268"/>
      <c r="I197" s="268"/>
      <c r="J197" s="269"/>
    </row>
    <row r="198" spans="2:10">
      <c r="B198" s="266"/>
      <c r="C198" s="266"/>
      <c r="D198" s="267"/>
      <c r="E198" s="267"/>
      <c r="F198" s="268"/>
      <c r="G198" s="268"/>
      <c r="H198" s="268"/>
      <c r="I198" s="268"/>
      <c r="J198" s="269"/>
    </row>
    <row r="199" spans="2:10">
      <c r="B199" s="686" t="s">
        <v>1011</v>
      </c>
      <c r="C199" s="687"/>
      <c r="D199" s="687"/>
      <c r="E199" s="687"/>
      <c r="F199" s="687"/>
      <c r="G199" s="687"/>
      <c r="H199" s="687"/>
      <c r="I199" s="688"/>
      <c r="J199" s="270">
        <f>ROUND(SUM(J193:J198),2)</f>
        <v>5.5</v>
      </c>
    </row>
    <row r="200" spans="2:10">
      <c r="B200" s="689"/>
      <c r="C200" s="689"/>
      <c r="D200" s="689"/>
      <c r="E200" s="689"/>
      <c r="F200" s="689"/>
      <c r="G200" s="689"/>
      <c r="H200" s="689"/>
      <c r="I200" s="689"/>
      <c r="J200" s="689"/>
    </row>
    <row r="201" spans="2:10" ht="30">
      <c r="B201" s="263" t="s">
        <v>1012</v>
      </c>
      <c r="C201" s="264" t="s">
        <v>1002</v>
      </c>
      <c r="D201" s="264" t="s">
        <v>1072</v>
      </c>
      <c r="E201" s="265" t="s">
        <v>1004</v>
      </c>
      <c r="F201" s="265" t="s">
        <v>1005</v>
      </c>
      <c r="G201" s="265" t="s">
        <v>1006</v>
      </c>
      <c r="H201" s="265" t="s">
        <v>1007</v>
      </c>
      <c r="I201" s="265" t="s">
        <v>1008</v>
      </c>
      <c r="J201" s="265" t="s">
        <v>1009</v>
      </c>
    </row>
    <row r="202" spans="2:10">
      <c r="B202" s="295" t="s">
        <v>1099</v>
      </c>
      <c r="C202" s="296" t="s">
        <v>584</v>
      </c>
      <c r="D202" s="267" t="s">
        <v>1098</v>
      </c>
      <c r="E202" s="268">
        <v>0.37</v>
      </c>
      <c r="F202" s="268">
        <v>1</v>
      </c>
      <c r="G202" s="268" t="s">
        <v>1100</v>
      </c>
      <c r="H202" s="268">
        <v>0</v>
      </c>
      <c r="I202" s="268" t="str">
        <f>G202</f>
        <v>21,67</v>
      </c>
      <c r="J202" s="269">
        <f>I202*E202</f>
        <v>8.0179000000000009</v>
      </c>
    </row>
    <row r="203" spans="2:10" ht="30">
      <c r="B203" s="295" t="s">
        <v>717</v>
      </c>
      <c r="C203" s="296" t="s">
        <v>543</v>
      </c>
      <c r="D203" s="267">
        <v>38181</v>
      </c>
      <c r="E203" s="268">
        <v>1</v>
      </c>
      <c r="F203" s="268">
        <v>1</v>
      </c>
      <c r="G203" s="268">
        <v>134.46</v>
      </c>
      <c r="H203" s="268">
        <v>0</v>
      </c>
      <c r="I203" s="268">
        <f>G203</f>
        <v>134.46</v>
      </c>
      <c r="J203" s="269">
        <f>I203*E203</f>
        <v>134.46</v>
      </c>
    </row>
    <row r="204" spans="2:10">
      <c r="B204" s="295"/>
      <c r="C204" s="296"/>
      <c r="D204" s="267"/>
      <c r="E204" s="268"/>
      <c r="F204" s="268"/>
      <c r="G204" s="268"/>
      <c r="H204" s="268"/>
      <c r="I204" s="268"/>
      <c r="J204" s="269"/>
    </row>
    <row r="205" spans="2:10">
      <c r="B205" s="295"/>
      <c r="C205" s="296"/>
      <c r="D205" s="296"/>
      <c r="E205" s="268"/>
      <c r="F205" s="268"/>
      <c r="G205" s="268"/>
      <c r="H205" s="268"/>
      <c r="I205" s="268"/>
      <c r="J205" s="269"/>
    </row>
    <row r="206" spans="2:10">
      <c r="B206" s="295"/>
      <c r="C206" s="266"/>
      <c r="D206" s="267"/>
      <c r="E206" s="267"/>
      <c r="F206" s="268"/>
      <c r="G206" s="268"/>
      <c r="H206" s="268"/>
      <c r="I206" s="268"/>
      <c r="J206" s="269"/>
    </row>
    <row r="207" spans="2:10">
      <c r="B207" s="266"/>
      <c r="C207" s="266"/>
      <c r="D207" s="267"/>
      <c r="E207" s="267"/>
      <c r="F207" s="268"/>
      <c r="G207" s="268"/>
      <c r="H207" s="268"/>
      <c r="I207" s="268"/>
      <c r="J207" s="269"/>
    </row>
    <row r="208" spans="2:10">
      <c r="B208" s="266"/>
      <c r="C208" s="266"/>
      <c r="D208" s="267"/>
      <c r="E208" s="267"/>
      <c r="F208" s="268"/>
      <c r="G208" s="268"/>
      <c r="H208" s="268"/>
      <c r="I208" s="268"/>
      <c r="J208" s="269"/>
    </row>
    <row r="209" spans="2:10">
      <c r="B209" s="266"/>
      <c r="C209" s="266"/>
      <c r="D209" s="267"/>
      <c r="E209" s="267"/>
      <c r="F209" s="268"/>
      <c r="G209" s="268"/>
      <c r="H209" s="268"/>
      <c r="I209" s="268"/>
      <c r="J209" s="269"/>
    </row>
    <row r="210" spans="2:10">
      <c r="B210" s="266"/>
      <c r="C210" s="266"/>
      <c r="D210" s="267"/>
      <c r="E210" s="267"/>
      <c r="F210" s="268"/>
      <c r="G210" s="268"/>
      <c r="H210" s="268"/>
      <c r="I210" s="268"/>
      <c r="J210" s="269"/>
    </row>
    <row r="211" spans="2:10">
      <c r="B211" s="266"/>
      <c r="C211" s="266"/>
      <c r="D211" s="267"/>
      <c r="E211" s="267"/>
      <c r="F211" s="268"/>
      <c r="G211" s="268"/>
      <c r="H211" s="268"/>
      <c r="I211" s="268"/>
      <c r="J211" s="269"/>
    </row>
    <row r="212" spans="2:10">
      <c r="B212" s="266"/>
      <c r="C212" s="266"/>
      <c r="D212" s="267"/>
      <c r="E212" s="267"/>
      <c r="F212" s="268"/>
      <c r="G212" s="268"/>
      <c r="H212" s="268"/>
      <c r="I212" s="268"/>
      <c r="J212" s="269"/>
    </row>
    <row r="213" spans="2:10">
      <c r="B213" s="266"/>
      <c r="C213" s="266"/>
      <c r="D213" s="267"/>
      <c r="E213" s="267"/>
      <c r="F213" s="268"/>
      <c r="G213" s="268"/>
      <c r="H213" s="268"/>
      <c r="I213" s="268"/>
      <c r="J213" s="269"/>
    </row>
    <row r="214" spans="2:10">
      <c r="B214" s="266"/>
      <c r="C214" s="266"/>
      <c r="D214" s="267"/>
      <c r="E214" s="267"/>
      <c r="F214" s="268"/>
      <c r="G214" s="268"/>
      <c r="H214" s="268"/>
      <c r="I214" s="268"/>
      <c r="J214" s="269"/>
    </row>
    <row r="215" spans="2:10">
      <c r="B215" s="266"/>
      <c r="C215" s="266"/>
      <c r="D215" s="267"/>
      <c r="E215" s="267"/>
      <c r="F215" s="268"/>
      <c r="G215" s="268"/>
      <c r="H215" s="268"/>
      <c r="I215" s="268"/>
      <c r="J215" s="269"/>
    </row>
    <row r="216" spans="2:10">
      <c r="B216" s="266"/>
      <c r="C216" s="266"/>
      <c r="D216" s="267"/>
      <c r="E216" s="267"/>
      <c r="F216" s="268"/>
      <c r="G216" s="268"/>
      <c r="H216" s="268"/>
      <c r="I216" s="268"/>
      <c r="J216" s="269"/>
    </row>
    <row r="217" spans="2:10">
      <c r="B217" s="266"/>
      <c r="C217" s="266"/>
      <c r="D217" s="267"/>
      <c r="E217" s="267"/>
      <c r="F217" s="268"/>
      <c r="G217" s="268"/>
      <c r="H217" s="268"/>
      <c r="I217" s="268"/>
      <c r="J217" s="269"/>
    </row>
    <row r="218" spans="2:10">
      <c r="B218" s="686" t="s">
        <v>1011</v>
      </c>
      <c r="C218" s="687"/>
      <c r="D218" s="687"/>
      <c r="E218" s="687"/>
      <c r="F218" s="687"/>
      <c r="G218" s="687"/>
      <c r="H218" s="687"/>
      <c r="I218" s="688"/>
      <c r="J218" s="270">
        <f>ROUND(SUM(J202:J217),2)</f>
        <v>142.47999999999999</v>
      </c>
    </row>
    <row r="219" spans="2:10">
      <c r="B219" s="690"/>
      <c r="C219" s="690"/>
      <c r="D219" s="690"/>
      <c r="E219" s="690"/>
      <c r="F219" s="690"/>
      <c r="G219" s="690"/>
      <c r="H219" s="690"/>
      <c r="I219" s="690"/>
      <c r="J219" s="690"/>
    </row>
    <row r="220" spans="2:10" ht="30">
      <c r="B220" s="263" t="s">
        <v>1013</v>
      </c>
      <c r="C220" s="264" t="s">
        <v>1002</v>
      </c>
      <c r="D220" s="264" t="s">
        <v>1003</v>
      </c>
      <c r="E220" s="265" t="s">
        <v>1004</v>
      </c>
      <c r="F220" s="265" t="s">
        <v>1005</v>
      </c>
      <c r="G220" s="265" t="s">
        <v>1006</v>
      </c>
      <c r="H220" s="265" t="s">
        <v>1007</v>
      </c>
      <c r="I220" s="265" t="s">
        <v>1008</v>
      </c>
      <c r="J220" s="265" t="s">
        <v>1009</v>
      </c>
    </row>
    <row r="221" spans="2:10">
      <c r="B221" s="266"/>
      <c r="C221" s="267"/>
      <c r="D221" s="267"/>
      <c r="E221" s="268"/>
      <c r="F221" s="268"/>
      <c r="G221" s="268"/>
      <c r="H221" s="268"/>
      <c r="I221" s="268"/>
      <c r="J221" s="271"/>
    </row>
    <row r="222" spans="2:10">
      <c r="B222" s="266"/>
      <c r="C222" s="267"/>
      <c r="D222" s="267"/>
      <c r="E222" s="268"/>
      <c r="F222" s="268"/>
      <c r="G222" s="268"/>
      <c r="H222" s="268"/>
      <c r="I222" s="268"/>
      <c r="J222" s="271"/>
    </row>
    <row r="223" spans="2:10">
      <c r="B223" s="266"/>
      <c r="C223" s="267"/>
      <c r="D223" s="267"/>
      <c r="E223" s="268"/>
      <c r="F223" s="268"/>
      <c r="G223" s="268"/>
      <c r="H223" s="268"/>
      <c r="I223" s="268"/>
      <c r="J223" s="271"/>
    </row>
    <row r="224" spans="2:10">
      <c r="B224" s="266"/>
      <c r="C224" s="267"/>
      <c r="D224" s="267"/>
      <c r="E224" s="268"/>
      <c r="F224" s="268"/>
      <c r="G224" s="268"/>
      <c r="H224" s="268"/>
      <c r="I224" s="268"/>
      <c r="J224" s="271"/>
    </row>
    <row r="225" spans="2:10">
      <c r="B225" s="266"/>
      <c r="C225" s="266"/>
      <c r="D225" s="267"/>
      <c r="E225" s="267"/>
      <c r="F225" s="268"/>
      <c r="G225" s="268"/>
      <c r="H225" s="268"/>
      <c r="I225" s="268"/>
      <c r="J225" s="271"/>
    </row>
    <row r="226" spans="2:10">
      <c r="B226" s="686" t="s">
        <v>1011</v>
      </c>
      <c r="C226" s="687"/>
      <c r="D226" s="687"/>
      <c r="E226" s="687"/>
      <c r="F226" s="687"/>
      <c r="G226" s="687"/>
      <c r="H226" s="687"/>
      <c r="I226" s="688"/>
      <c r="J226" s="270">
        <f>ROUND(SUM(J221:J225),2)</f>
        <v>0</v>
      </c>
    </row>
    <row r="227" spans="2:10">
      <c r="B227" s="262"/>
      <c r="C227" s="262"/>
      <c r="D227" s="262"/>
      <c r="E227" s="262"/>
      <c r="F227" s="262"/>
      <c r="G227" s="262"/>
      <c r="H227" s="262"/>
      <c r="I227" s="262"/>
      <c r="J227" s="262"/>
    </row>
    <row r="228" spans="2:10">
      <c r="B228" s="691" t="s">
        <v>1014</v>
      </c>
      <c r="C228" s="691"/>
      <c r="D228" s="691"/>
      <c r="E228" s="691"/>
      <c r="F228" s="691"/>
      <c r="G228" s="691"/>
      <c r="H228" s="262"/>
      <c r="I228" s="262"/>
      <c r="J228" s="262"/>
    </row>
    <row r="229" spans="2:10">
      <c r="B229" s="692" t="s">
        <v>1015</v>
      </c>
      <c r="C229" s="693"/>
      <c r="D229" s="693"/>
      <c r="E229" s="694"/>
      <c r="F229" s="265" t="s">
        <v>1016</v>
      </c>
      <c r="G229" s="265" t="s">
        <v>1017</v>
      </c>
      <c r="H229" s="262"/>
      <c r="I229" s="262"/>
      <c r="J229" s="262"/>
    </row>
    <row r="230" spans="2:10">
      <c r="B230" s="678" t="s">
        <v>1018</v>
      </c>
      <c r="C230" s="679"/>
      <c r="D230" s="679"/>
      <c r="E230" s="680"/>
      <c r="F230" s="681">
        <f>$J$10</f>
        <v>0.91500000000000004</v>
      </c>
      <c r="G230" s="272">
        <f>J199</f>
        <v>5.5</v>
      </c>
      <c r="H230" s="262"/>
      <c r="I230" s="262"/>
      <c r="J230" s="262"/>
    </row>
    <row r="231" spans="2:10">
      <c r="B231" s="678" t="s">
        <v>1019</v>
      </c>
      <c r="C231" s="679"/>
      <c r="D231" s="679"/>
      <c r="E231" s="680"/>
      <c r="F231" s="695"/>
      <c r="G231" s="272">
        <f>J218</f>
        <v>142.47999999999999</v>
      </c>
      <c r="H231" s="262"/>
      <c r="I231" s="262"/>
      <c r="J231" s="262"/>
    </row>
    <row r="232" spans="2:10">
      <c r="B232" s="678" t="s">
        <v>1020</v>
      </c>
      <c r="C232" s="679"/>
      <c r="D232" s="679"/>
      <c r="E232" s="680"/>
      <c r="F232" s="695"/>
      <c r="G232" s="272">
        <f>J226</f>
        <v>0</v>
      </c>
      <c r="H232" s="262"/>
      <c r="I232" s="262"/>
      <c r="J232" s="262"/>
    </row>
    <row r="233" spans="2:10">
      <c r="B233" s="678" t="s">
        <v>1021</v>
      </c>
      <c r="C233" s="679"/>
      <c r="D233" s="679"/>
      <c r="E233" s="680"/>
      <c r="F233" s="695"/>
      <c r="G233" s="272">
        <v>1</v>
      </c>
      <c r="H233" s="262"/>
      <c r="I233" s="262"/>
      <c r="J233" s="262"/>
    </row>
    <row r="234" spans="2:10">
      <c r="B234" s="678" t="s">
        <v>1022</v>
      </c>
      <c r="C234" s="679"/>
      <c r="D234" s="679"/>
      <c r="E234" s="680"/>
      <c r="F234" s="695"/>
      <c r="G234" s="272">
        <f>G230+G232</f>
        <v>5.5</v>
      </c>
      <c r="H234" s="262"/>
      <c r="I234" s="262"/>
      <c r="J234" s="262"/>
    </row>
    <row r="235" spans="2:10">
      <c r="B235" s="678" t="s">
        <v>1023</v>
      </c>
      <c r="C235" s="679"/>
      <c r="D235" s="679"/>
      <c r="E235" s="680"/>
      <c r="F235" s="695"/>
      <c r="G235" s="272">
        <f>G234/G233</f>
        <v>5.5</v>
      </c>
      <c r="H235" s="262"/>
      <c r="I235" s="262"/>
      <c r="J235" s="262"/>
    </row>
    <row r="236" spans="2:10">
      <c r="B236" s="678" t="s">
        <v>1024</v>
      </c>
      <c r="C236" s="679"/>
      <c r="D236" s="679"/>
      <c r="E236" s="680"/>
      <c r="F236" s="682"/>
      <c r="G236" s="272">
        <f>G231+G235</f>
        <v>147.97999999999999</v>
      </c>
      <c r="H236" s="262"/>
      <c r="I236" s="262"/>
      <c r="J236" s="262"/>
    </row>
    <row r="237" spans="2:10">
      <c r="B237" s="678" t="s">
        <v>1025</v>
      </c>
      <c r="C237" s="679"/>
      <c r="D237" s="679"/>
      <c r="E237" s="680"/>
      <c r="F237" s="681">
        <f>$J$11</f>
        <v>0.28220000000000001</v>
      </c>
      <c r="G237" s="272">
        <f>G236*F237</f>
        <v>41.759955999999995</v>
      </c>
      <c r="H237" s="262"/>
      <c r="I237" s="262"/>
      <c r="J237" s="262"/>
    </row>
    <row r="238" spans="2:10">
      <c r="B238" s="683" t="s">
        <v>1026</v>
      </c>
      <c r="C238" s="684"/>
      <c r="D238" s="684"/>
      <c r="E238" s="685"/>
      <c r="F238" s="682"/>
      <c r="G238" s="273">
        <f>ROUND(SUM(G236+G237),2)</f>
        <v>189.74</v>
      </c>
      <c r="H238" s="262"/>
      <c r="I238" s="262"/>
      <c r="J238" s="262"/>
    </row>
    <row r="239" spans="2:10" ht="15.75" thickBot="1">
      <c r="B239" s="544"/>
      <c r="C239" s="544"/>
      <c r="D239" s="544"/>
      <c r="E239" s="544"/>
      <c r="F239" s="543"/>
      <c r="G239" s="542"/>
      <c r="H239" s="262"/>
      <c r="I239" s="262"/>
      <c r="J239" s="262"/>
    </row>
    <row r="240" spans="2:10" ht="15.75" thickBot="1">
      <c r="B240" s="696" t="s">
        <v>990</v>
      </c>
      <c r="C240" s="697"/>
      <c r="D240" s="697"/>
      <c r="E240" s="697"/>
      <c r="F240" s="697"/>
      <c r="G240" s="697"/>
      <c r="H240" s="697"/>
      <c r="I240" s="697"/>
      <c r="J240" s="698"/>
    </row>
    <row r="241" spans="2:10">
      <c r="B241" s="699" t="s">
        <v>1713</v>
      </c>
      <c r="C241" s="699"/>
      <c r="D241" s="699"/>
      <c r="E241" s="699"/>
      <c r="F241" s="699"/>
      <c r="G241" s="699"/>
      <c r="H241" s="699"/>
      <c r="I241" s="699"/>
      <c r="J241" s="699"/>
    </row>
    <row r="242" spans="2:10" ht="15.75" thickBot="1">
      <c r="B242" s="699" t="s">
        <v>8</v>
      </c>
      <c r="C242" s="699"/>
      <c r="D242" s="699"/>
      <c r="E242" s="699"/>
      <c r="F242" s="699"/>
      <c r="G242" s="699"/>
      <c r="H242" s="699"/>
      <c r="I242" s="699"/>
      <c r="J242" s="699"/>
    </row>
    <row r="243" spans="2:10">
      <c r="B243" s="700" t="s">
        <v>991</v>
      </c>
      <c r="C243" s="249" t="s">
        <v>992</v>
      </c>
      <c r="D243" s="250">
        <v>6</v>
      </c>
      <c r="E243" s="251" t="s">
        <v>993</v>
      </c>
      <c r="F243" s="252">
        <v>2017</v>
      </c>
      <c r="G243" s="253"/>
      <c r="H243" s="253"/>
      <c r="I243" s="251" t="s">
        <v>994</v>
      </c>
      <c r="J243" s="306" t="s">
        <v>1589</v>
      </c>
    </row>
    <row r="244" spans="2:10">
      <c r="B244" s="701"/>
      <c r="C244" s="255" t="s">
        <v>995</v>
      </c>
      <c r="D244" s="703" t="s">
        <v>1055</v>
      </c>
      <c r="E244" s="704"/>
      <c r="F244" s="256"/>
      <c r="G244" s="256"/>
      <c r="H244" s="256"/>
      <c r="I244" s="256"/>
      <c r="J244" s="257"/>
    </row>
    <row r="245" spans="2:10" ht="15.75">
      <c r="B245" s="701"/>
      <c r="C245" s="255" t="s">
        <v>997</v>
      </c>
      <c r="D245" s="705" t="s">
        <v>1117</v>
      </c>
      <c r="E245" s="705"/>
      <c r="F245" s="705"/>
      <c r="G245" s="705"/>
      <c r="H245" s="705"/>
      <c r="I245" s="705"/>
      <c r="J245" s="706"/>
    </row>
    <row r="246" spans="2:10" ht="15.75" thickBot="1">
      <c r="B246" s="702"/>
      <c r="C246" s="258" t="s">
        <v>999</v>
      </c>
      <c r="D246" s="308" t="s">
        <v>698</v>
      </c>
      <c r="E246" s="260"/>
      <c r="F246" s="260"/>
      <c r="G246" s="260"/>
      <c r="H246" s="260"/>
      <c r="I246" s="260"/>
      <c r="J246" s="261"/>
    </row>
    <row r="247" spans="2:10">
      <c r="B247" s="262"/>
      <c r="C247" s="262"/>
      <c r="D247" s="262"/>
      <c r="E247" s="262"/>
      <c r="F247" s="262"/>
      <c r="G247" s="262"/>
      <c r="H247" s="262"/>
      <c r="I247" s="262"/>
      <c r="J247" s="262"/>
    </row>
    <row r="248" spans="2:10" ht="30">
      <c r="B248" s="263" t="s">
        <v>1001</v>
      </c>
      <c r="C248" s="264" t="s">
        <v>1002</v>
      </c>
      <c r="D248" s="264" t="s">
        <v>1003</v>
      </c>
      <c r="E248" s="265" t="s">
        <v>1004</v>
      </c>
      <c r="F248" s="265" t="s">
        <v>1005</v>
      </c>
      <c r="G248" s="265" t="s">
        <v>1006</v>
      </c>
      <c r="H248" s="265" t="s">
        <v>1007</v>
      </c>
      <c r="I248" s="265" t="s">
        <v>1008</v>
      </c>
      <c r="J248" s="265" t="s">
        <v>1009</v>
      </c>
    </row>
    <row r="249" spans="2:10">
      <c r="B249" s="295" t="s">
        <v>927</v>
      </c>
      <c r="C249" s="267" t="s">
        <v>897</v>
      </c>
      <c r="D249" s="267">
        <v>88247</v>
      </c>
      <c r="E249" s="268">
        <v>0.4</v>
      </c>
      <c r="F249" s="268"/>
      <c r="G249" s="541">
        <f>(17.1/1.915)</f>
        <v>8.9295039164490859</v>
      </c>
      <c r="H249" s="268">
        <v>0</v>
      </c>
      <c r="I249" s="268">
        <f>ROUND(G249*(1+$J$10),2)</f>
        <v>17.100000000000001</v>
      </c>
      <c r="J249" s="269">
        <f>I249*E249</f>
        <v>6.8400000000000007</v>
      </c>
    </row>
    <row r="250" spans="2:10">
      <c r="B250" s="295" t="s">
        <v>928</v>
      </c>
      <c r="C250" s="267" t="s">
        <v>897</v>
      </c>
      <c r="D250" s="267">
        <v>88264</v>
      </c>
      <c r="E250" s="268">
        <v>0.4</v>
      </c>
      <c r="F250" s="268"/>
      <c r="G250" s="541">
        <f>21.24/1.915</f>
        <v>11.091383812010443</v>
      </c>
      <c r="H250" s="268">
        <v>0</v>
      </c>
      <c r="I250" s="268">
        <f>ROUND(G250*(1+$J$10),2)</f>
        <v>21.24</v>
      </c>
      <c r="J250" s="269">
        <f>I250*E250</f>
        <v>8.4960000000000004</v>
      </c>
    </row>
    <row r="251" spans="2:10">
      <c r="B251" s="266"/>
      <c r="C251" s="267"/>
      <c r="D251" s="267"/>
      <c r="E251" s="268"/>
      <c r="F251" s="268"/>
      <c r="G251" s="268"/>
      <c r="H251" s="268">
        <v>0</v>
      </c>
      <c r="I251" s="268">
        <f>ROUND(G251*(1+$J$10),2)</f>
        <v>0</v>
      </c>
      <c r="J251" s="269">
        <f>I251*E251</f>
        <v>0</v>
      </c>
    </row>
    <row r="252" spans="2:10">
      <c r="B252" s="266"/>
      <c r="C252" s="267"/>
      <c r="D252" s="267"/>
      <c r="E252" s="268"/>
      <c r="F252" s="268"/>
      <c r="G252" s="268"/>
      <c r="H252" s="268"/>
      <c r="I252" s="268"/>
      <c r="J252" s="269"/>
    </row>
    <row r="253" spans="2:10">
      <c r="B253" s="266"/>
      <c r="C253" s="267"/>
      <c r="D253" s="267"/>
      <c r="E253" s="268"/>
      <c r="F253" s="268"/>
      <c r="G253" s="268"/>
      <c r="H253" s="268"/>
      <c r="I253" s="268"/>
      <c r="J253" s="269"/>
    </row>
    <row r="254" spans="2:10">
      <c r="B254" s="266"/>
      <c r="C254" s="266"/>
      <c r="D254" s="267"/>
      <c r="E254" s="267"/>
      <c r="F254" s="268"/>
      <c r="G254" s="268"/>
      <c r="H254" s="268"/>
      <c r="I254" s="268"/>
      <c r="J254" s="269"/>
    </row>
    <row r="255" spans="2:10">
      <c r="B255" s="686" t="s">
        <v>1011</v>
      </c>
      <c r="C255" s="687"/>
      <c r="D255" s="687"/>
      <c r="E255" s="687"/>
      <c r="F255" s="687"/>
      <c r="G255" s="687"/>
      <c r="H255" s="687"/>
      <c r="I255" s="688"/>
      <c r="J255" s="270">
        <f>ROUND(SUM(J249:J254),2)</f>
        <v>15.34</v>
      </c>
    </row>
    <row r="256" spans="2:10">
      <c r="B256" s="689"/>
      <c r="C256" s="689"/>
      <c r="D256" s="689"/>
      <c r="E256" s="689"/>
      <c r="F256" s="689"/>
      <c r="G256" s="689"/>
      <c r="H256" s="689"/>
      <c r="I256" s="689"/>
      <c r="J256" s="689"/>
    </row>
    <row r="257" spans="2:10" ht="30">
      <c r="B257" s="263" t="s">
        <v>1012</v>
      </c>
      <c r="C257" s="264" t="s">
        <v>1002</v>
      </c>
      <c r="D257" s="264" t="s">
        <v>1072</v>
      </c>
      <c r="E257" s="265" t="s">
        <v>1004</v>
      </c>
      <c r="F257" s="265" t="s">
        <v>1005</v>
      </c>
      <c r="G257" s="265" t="s">
        <v>1006</v>
      </c>
      <c r="H257" s="265" t="s">
        <v>1007</v>
      </c>
      <c r="I257" s="265" t="s">
        <v>1008</v>
      </c>
      <c r="J257" s="265" t="s">
        <v>1009</v>
      </c>
    </row>
    <row r="258" spans="2:10" ht="30">
      <c r="B258" s="295" t="s">
        <v>1118</v>
      </c>
      <c r="C258" s="296" t="s">
        <v>698</v>
      </c>
      <c r="D258" s="267"/>
      <c r="E258" s="268">
        <v>1</v>
      </c>
      <c r="F258" s="268">
        <v>1</v>
      </c>
      <c r="G258" s="268">
        <v>21.92</v>
      </c>
      <c r="H258" s="268">
        <v>0</v>
      </c>
      <c r="I258" s="268">
        <f>G258</f>
        <v>21.92</v>
      </c>
      <c r="J258" s="269">
        <f>I258*E258</f>
        <v>21.92</v>
      </c>
    </row>
    <row r="259" spans="2:10">
      <c r="B259" s="295"/>
      <c r="C259" s="296"/>
      <c r="D259" s="267"/>
      <c r="E259" s="268"/>
      <c r="F259" s="268"/>
      <c r="G259" s="268"/>
      <c r="H259" s="268">
        <v>0</v>
      </c>
      <c r="I259" s="268">
        <f>G259</f>
        <v>0</v>
      </c>
      <c r="J259" s="269">
        <f>I259*E259</f>
        <v>0</v>
      </c>
    </row>
    <row r="260" spans="2:10">
      <c r="B260" s="295"/>
      <c r="C260" s="296"/>
      <c r="D260" s="267"/>
      <c r="E260" s="268"/>
      <c r="F260" s="268"/>
      <c r="G260" s="268"/>
      <c r="H260" s="268"/>
      <c r="I260" s="268"/>
      <c r="J260" s="269"/>
    </row>
    <row r="261" spans="2:10">
      <c r="B261" s="295"/>
      <c r="C261" s="296"/>
      <c r="D261" s="296"/>
      <c r="E261" s="268"/>
      <c r="F261" s="268"/>
      <c r="G261" s="268"/>
      <c r="H261" s="268"/>
      <c r="I261" s="268"/>
      <c r="J261" s="269"/>
    </row>
    <row r="262" spans="2:10">
      <c r="B262" s="295"/>
      <c r="C262" s="266"/>
      <c r="D262" s="267"/>
      <c r="E262" s="267"/>
      <c r="F262" s="268"/>
      <c r="G262" s="268"/>
      <c r="H262" s="268"/>
      <c r="I262" s="268"/>
      <c r="J262" s="269"/>
    </row>
    <row r="263" spans="2:10">
      <c r="B263" s="266"/>
      <c r="C263" s="266"/>
      <c r="D263" s="267"/>
      <c r="E263" s="267"/>
      <c r="F263" s="268"/>
      <c r="G263" s="268"/>
      <c r="H263" s="268"/>
      <c r="I263" s="268"/>
      <c r="J263" s="269"/>
    </row>
    <row r="264" spans="2:10">
      <c r="B264" s="266"/>
      <c r="C264" s="266"/>
      <c r="D264" s="267"/>
      <c r="E264" s="267"/>
      <c r="F264" s="268"/>
      <c r="G264" s="268"/>
      <c r="H264" s="268"/>
      <c r="I264" s="268"/>
      <c r="J264" s="269"/>
    </row>
    <row r="265" spans="2:10">
      <c r="B265" s="266"/>
      <c r="C265" s="266"/>
      <c r="D265" s="267"/>
      <c r="E265" s="267"/>
      <c r="F265" s="268"/>
      <c r="G265" s="268"/>
      <c r="H265" s="268"/>
      <c r="I265" s="268"/>
      <c r="J265" s="269"/>
    </row>
    <row r="266" spans="2:10">
      <c r="B266" s="266"/>
      <c r="C266" s="266"/>
      <c r="D266" s="267"/>
      <c r="E266" s="267"/>
      <c r="F266" s="268"/>
      <c r="G266" s="268"/>
      <c r="H266" s="268"/>
      <c r="I266" s="268"/>
      <c r="J266" s="269"/>
    </row>
    <row r="267" spans="2:10">
      <c r="B267" s="266"/>
      <c r="C267" s="266"/>
      <c r="D267" s="267"/>
      <c r="E267" s="267"/>
      <c r="F267" s="268"/>
      <c r="G267" s="268"/>
      <c r="H267" s="268"/>
      <c r="I267" s="268"/>
      <c r="J267" s="269"/>
    </row>
    <row r="268" spans="2:10">
      <c r="B268" s="266"/>
      <c r="C268" s="266"/>
      <c r="D268" s="267"/>
      <c r="E268" s="267"/>
      <c r="F268" s="268"/>
      <c r="G268" s="268"/>
      <c r="H268" s="268"/>
      <c r="I268" s="268"/>
      <c r="J268" s="269"/>
    </row>
    <row r="269" spans="2:10">
      <c r="B269" s="266"/>
      <c r="C269" s="266"/>
      <c r="D269" s="267"/>
      <c r="E269" s="267"/>
      <c r="F269" s="268"/>
      <c r="G269" s="268"/>
      <c r="H269" s="268"/>
      <c r="I269" s="268"/>
      <c r="J269" s="269"/>
    </row>
    <row r="270" spans="2:10">
      <c r="B270" s="266"/>
      <c r="C270" s="266"/>
      <c r="D270" s="267"/>
      <c r="E270" s="267"/>
      <c r="F270" s="268"/>
      <c r="G270" s="268"/>
      <c r="H270" s="268"/>
      <c r="I270" s="268"/>
      <c r="J270" s="269"/>
    </row>
    <row r="271" spans="2:10">
      <c r="B271" s="266"/>
      <c r="C271" s="266"/>
      <c r="D271" s="267"/>
      <c r="E271" s="267"/>
      <c r="F271" s="268"/>
      <c r="G271" s="268"/>
      <c r="H271" s="268"/>
      <c r="I271" s="268"/>
      <c r="J271" s="269"/>
    </row>
    <row r="272" spans="2:10">
      <c r="B272" s="266"/>
      <c r="C272" s="266"/>
      <c r="D272" s="267"/>
      <c r="E272" s="267"/>
      <c r="F272" s="268"/>
      <c r="G272" s="268"/>
      <c r="H272" s="268"/>
      <c r="I272" s="268"/>
      <c r="J272" s="269"/>
    </row>
    <row r="273" spans="2:10">
      <c r="B273" s="266"/>
      <c r="C273" s="266"/>
      <c r="D273" s="267"/>
      <c r="E273" s="267"/>
      <c r="F273" s="268"/>
      <c r="G273" s="268"/>
      <c r="H273" s="268"/>
      <c r="I273" s="268"/>
      <c r="J273" s="269"/>
    </row>
    <row r="274" spans="2:10">
      <c r="B274" s="266"/>
      <c r="C274" s="266"/>
      <c r="D274" s="267"/>
      <c r="E274" s="267"/>
      <c r="F274" s="268"/>
      <c r="G274" s="268"/>
      <c r="H274" s="268"/>
      <c r="I274" s="268"/>
      <c r="J274" s="269"/>
    </row>
    <row r="275" spans="2:10">
      <c r="B275" s="686" t="s">
        <v>1011</v>
      </c>
      <c r="C275" s="687"/>
      <c r="D275" s="687"/>
      <c r="E275" s="687"/>
      <c r="F275" s="687"/>
      <c r="G275" s="687"/>
      <c r="H275" s="687"/>
      <c r="I275" s="688"/>
      <c r="J275" s="270">
        <f>ROUND(SUM(J258:J274),2)</f>
        <v>21.92</v>
      </c>
    </row>
    <row r="276" spans="2:10">
      <c r="B276" s="690"/>
      <c r="C276" s="690"/>
      <c r="D276" s="690"/>
      <c r="E276" s="690"/>
      <c r="F276" s="690"/>
      <c r="G276" s="690"/>
      <c r="H276" s="690"/>
      <c r="I276" s="690"/>
      <c r="J276" s="690"/>
    </row>
    <row r="277" spans="2:10" ht="30">
      <c r="B277" s="263" t="s">
        <v>1013</v>
      </c>
      <c r="C277" s="264" t="s">
        <v>1002</v>
      </c>
      <c r="D277" s="264" t="s">
        <v>1003</v>
      </c>
      <c r="E277" s="265" t="s">
        <v>1004</v>
      </c>
      <c r="F277" s="265" t="s">
        <v>1005</v>
      </c>
      <c r="G277" s="265" t="s">
        <v>1006</v>
      </c>
      <c r="H277" s="265" t="s">
        <v>1007</v>
      </c>
      <c r="I277" s="265" t="s">
        <v>1008</v>
      </c>
      <c r="J277" s="265" t="s">
        <v>1009</v>
      </c>
    </row>
    <row r="278" spans="2:10">
      <c r="B278" s="266"/>
      <c r="C278" s="267"/>
      <c r="D278" s="267"/>
      <c r="E278" s="268"/>
      <c r="F278" s="268"/>
      <c r="G278" s="268"/>
      <c r="H278" s="268"/>
      <c r="I278" s="268"/>
      <c r="J278" s="271"/>
    </row>
    <row r="279" spans="2:10">
      <c r="B279" s="266"/>
      <c r="C279" s="267"/>
      <c r="D279" s="267"/>
      <c r="E279" s="268"/>
      <c r="F279" s="268"/>
      <c r="G279" s="268"/>
      <c r="H279" s="268"/>
      <c r="I279" s="268"/>
      <c r="J279" s="271"/>
    </row>
    <row r="280" spans="2:10">
      <c r="B280" s="266"/>
      <c r="C280" s="267"/>
      <c r="D280" s="267"/>
      <c r="E280" s="268"/>
      <c r="F280" s="268"/>
      <c r="G280" s="268"/>
      <c r="H280" s="268"/>
      <c r="I280" s="268"/>
      <c r="J280" s="271"/>
    </row>
    <row r="281" spans="2:10">
      <c r="B281" s="266"/>
      <c r="C281" s="267"/>
      <c r="D281" s="267"/>
      <c r="E281" s="268"/>
      <c r="F281" s="268"/>
      <c r="G281" s="268"/>
      <c r="H281" s="268"/>
      <c r="I281" s="268"/>
      <c r="J281" s="271"/>
    </row>
    <row r="282" spans="2:10">
      <c r="B282" s="266"/>
      <c r="C282" s="266"/>
      <c r="D282" s="267"/>
      <c r="E282" s="267"/>
      <c r="F282" s="268"/>
      <c r="G282" s="268"/>
      <c r="H282" s="268"/>
      <c r="I282" s="268"/>
      <c r="J282" s="271"/>
    </row>
    <row r="283" spans="2:10">
      <c r="B283" s="686" t="s">
        <v>1011</v>
      </c>
      <c r="C283" s="687"/>
      <c r="D283" s="687"/>
      <c r="E283" s="687"/>
      <c r="F283" s="687"/>
      <c r="G283" s="687"/>
      <c r="H283" s="687"/>
      <c r="I283" s="688"/>
      <c r="J283" s="270">
        <f>ROUND(SUM(J278:J282),2)</f>
        <v>0</v>
      </c>
    </row>
    <row r="284" spans="2:10">
      <c r="B284" s="262"/>
      <c r="C284" s="262"/>
      <c r="D284" s="262"/>
      <c r="E284" s="262"/>
      <c r="F284" s="262"/>
      <c r="G284" s="262"/>
      <c r="H284" s="262"/>
      <c r="I284" s="262"/>
      <c r="J284" s="262"/>
    </row>
    <row r="285" spans="2:10">
      <c r="B285" s="691" t="s">
        <v>1014</v>
      </c>
      <c r="C285" s="691"/>
      <c r="D285" s="691"/>
      <c r="E285" s="691"/>
      <c r="F285" s="691"/>
      <c r="G285" s="691"/>
      <c r="H285" s="262"/>
      <c r="I285" s="262"/>
      <c r="J285" s="262"/>
    </row>
    <row r="286" spans="2:10">
      <c r="B286" s="692" t="s">
        <v>1015</v>
      </c>
      <c r="C286" s="693"/>
      <c r="D286" s="693"/>
      <c r="E286" s="694"/>
      <c r="F286" s="265" t="s">
        <v>1016</v>
      </c>
      <c r="G286" s="265" t="s">
        <v>1017</v>
      </c>
      <c r="H286" s="262"/>
      <c r="I286" s="262"/>
      <c r="J286" s="262"/>
    </row>
    <row r="287" spans="2:10">
      <c r="B287" s="678" t="s">
        <v>1018</v>
      </c>
      <c r="C287" s="679"/>
      <c r="D287" s="679"/>
      <c r="E287" s="680"/>
      <c r="F287" s="681">
        <f>$J$10</f>
        <v>0.91500000000000004</v>
      </c>
      <c r="G287" s="272">
        <f>J255</f>
        <v>15.34</v>
      </c>
      <c r="H287" s="262"/>
      <c r="I287" s="262"/>
      <c r="J287" s="262"/>
    </row>
    <row r="288" spans="2:10">
      <c r="B288" s="678" t="s">
        <v>1019</v>
      </c>
      <c r="C288" s="679"/>
      <c r="D288" s="679"/>
      <c r="E288" s="680"/>
      <c r="F288" s="695"/>
      <c r="G288" s="272">
        <f>J275</f>
        <v>21.92</v>
      </c>
      <c r="H288" s="262"/>
      <c r="I288" s="262"/>
      <c r="J288" s="262"/>
    </row>
    <row r="289" spans="2:10">
      <c r="B289" s="678" t="s">
        <v>1020</v>
      </c>
      <c r="C289" s="679"/>
      <c r="D289" s="679"/>
      <c r="E289" s="680"/>
      <c r="F289" s="695"/>
      <c r="G289" s="272">
        <f>J283</f>
        <v>0</v>
      </c>
      <c r="H289" s="262"/>
      <c r="I289" s="262"/>
      <c r="J289" s="262"/>
    </row>
    <row r="290" spans="2:10">
      <c r="B290" s="678" t="s">
        <v>1021</v>
      </c>
      <c r="C290" s="679"/>
      <c r="D290" s="679"/>
      <c r="E290" s="680"/>
      <c r="F290" s="695"/>
      <c r="G290" s="272">
        <v>1</v>
      </c>
      <c r="H290" s="262"/>
      <c r="I290" s="262"/>
      <c r="J290" s="262"/>
    </row>
    <row r="291" spans="2:10">
      <c r="B291" s="678" t="s">
        <v>1022</v>
      </c>
      <c r="C291" s="679"/>
      <c r="D291" s="679"/>
      <c r="E291" s="680"/>
      <c r="F291" s="695"/>
      <c r="G291" s="272">
        <f>G287+G289</f>
        <v>15.34</v>
      </c>
      <c r="H291" s="262"/>
      <c r="I291" s="262"/>
      <c r="J291" s="262"/>
    </row>
    <row r="292" spans="2:10">
      <c r="B292" s="678" t="s">
        <v>1023</v>
      </c>
      <c r="C292" s="679"/>
      <c r="D292" s="679"/>
      <c r="E292" s="680"/>
      <c r="F292" s="695"/>
      <c r="G292" s="272">
        <f>G291/G290</f>
        <v>15.34</v>
      </c>
      <c r="H292" s="262"/>
      <c r="I292" s="262"/>
      <c r="J292" s="262"/>
    </row>
    <row r="293" spans="2:10">
      <c r="B293" s="678" t="s">
        <v>1024</v>
      </c>
      <c r="C293" s="679"/>
      <c r="D293" s="679"/>
      <c r="E293" s="680"/>
      <c r="F293" s="682"/>
      <c r="G293" s="272">
        <f>G288+G292</f>
        <v>37.260000000000005</v>
      </c>
      <c r="H293" s="262"/>
      <c r="I293" s="262"/>
      <c r="J293" s="262"/>
    </row>
    <row r="294" spans="2:10">
      <c r="B294" s="678" t="s">
        <v>1025</v>
      </c>
      <c r="C294" s="679"/>
      <c r="D294" s="679"/>
      <c r="E294" s="680"/>
      <c r="F294" s="681">
        <f>$J$11</f>
        <v>0.28220000000000001</v>
      </c>
      <c r="G294" s="272">
        <f>G293*F294</f>
        <v>10.514772000000002</v>
      </c>
      <c r="H294" s="262"/>
      <c r="I294" s="262"/>
      <c r="J294" s="262"/>
    </row>
    <row r="295" spans="2:10">
      <c r="B295" s="683" t="s">
        <v>1026</v>
      </c>
      <c r="C295" s="684"/>
      <c r="D295" s="684"/>
      <c r="E295" s="685"/>
      <c r="F295" s="682"/>
      <c r="G295" s="273">
        <f>ROUND(SUM(G293+G294),2)</f>
        <v>47.77</v>
      </c>
      <c r="H295" s="262"/>
      <c r="I295" s="262"/>
      <c r="J295" s="307"/>
    </row>
    <row r="296" spans="2:10" ht="15.75" thickBot="1"/>
    <row r="297" spans="2:10" ht="15.75" thickBot="1">
      <c r="B297" s="696" t="s">
        <v>990</v>
      </c>
      <c r="C297" s="697"/>
      <c r="D297" s="697"/>
      <c r="E297" s="697"/>
      <c r="F297" s="697"/>
      <c r="G297" s="697"/>
      <c r="H297" s="697"/>
      <c r="I297" s="697"/>
      <c r="J297" s="698"/>
    </row>
    <row r="298" spans="2:10">
      <c r="B298" s="699" t="s">
        <v>1713</v>
      </c>
      <c r="C298" s="699"/>
      <c r="D298" s="699"/>
      <c r="E298" s="699"/>
      <c r="F298" s="699"/>
      <c r="G298" s="699"/>
      <c r="H298" s="699"/>
      <c r="I298" s="699"/>
      <c r="J298" s="699"/>
    </row>
    <row r="299" spans="2:10" ht="15.75" thickBot="1">
      <c r="B299" s="699" t="s">
        <v>8</v>
      </c>
      <c r="C299" s="699"/>
      <c r="D299" s="699"/>
      <c r="E299" s="699"/>
      <c r="F299" s="699"/>
      <c r="G299" s="699"/>
      <c r="H299" s="699"/>
      <c r="I299" s="699"/>
      <c r="J299" s="699"/>
    </row>
    <row r="300" spans="2:10">
      <c r="B300" s="700" t="s">
        <v>991</v>
      </c>
      <c r="C300" s="249" t="s">
        <v>992</v>
      </c>
      <c r="D300" s="250">
        <v>6</v>
      </c>
      <c r="E300" s="251" t="s">
        <v>993</v>
      </c>
      <c r="F300" s="252">
        <v>2017</v>
      </c>
      <c r="G300" s="253"/>
      <c r="H300" s="253"/>
      <c r="I300" s="251" t="s">
        <v>994</v>
      </c>
      <c r="J300" s="306" t="s">
        <v>1588</v>
      </c>
    </row>
    <row r="301" spans="2:10">
      <c r="B301" s="701"/>
      <c r="C301" s="255" t="s">
        <v>995</v>
      </c>
      <c r="D301" s="703" t="s">
        <v>1593</v>
      </c>
      <c r="E301" s="704"/>
      <c r="F301" s="256"/>
      <c r="G301" s="256"/>
      <c r="H301" s="256"/>
      <c r="I301" s="256"/>
      <c r="J301" s="257"/>
    </row>
    <row r="302" spans="2:10" ht="15.75">
      <c r="B302" s="701"/>
      <c r="C302" s="255" t="s">
        <v>997</v>
      </c>
      <c r="D302" s="705" t="s">
        <v>1121</v>
      </c>
      <c r="E302" s="705"/>
      <c r="F302" s="705"/>
      <c r="G302" s="705"/>
      <c r="H302" s="705"/>
      <c r="I302" s="705"/>
      <c r="J302" s="706"/>
    </row>
    <row r="303" spans="2:10" ht="15.75" thickBot="1">
      <c r="B303" s="702"/>
      <c r="C303" s="258" t="s">
        <v>999</v>
      </c>
      <c r="D303" s="308" t="s">
        <v>698</v>
      </c>
      <c r="E303" s="260"/>
      <c r="F303" s="260"/>
      <c r="G303" s="260"/>
      <c r="H303" s="260"/>
      <c r="I303" s="260"/>
      <c r="J303" s="261"/>
    </row>
    <row r="304" spans="2:10">
      <c r="B304" s="262"/>
      <c r="C304" s="262"/>
      <c r="D304" s="262"/>
      <c r="E304" s="262"/>
      <c r="F304" s="262"/>
      <c r="G304" s="262"/>
      <c r="H304" s="262"/>
      <c r="I304" s="262"/>
      <c r="J304" s="262"/>
    </row>
    <row r="305" spans="2:10" ht="30">
      <c r="B305" s="263" t="s">
        <v>1001</v>
      </c>
      <c r="C305" s="264" t="s">
        <v>1002</v>
      </c>
      <c r="D305" s="264" t="s">
        <v>1003</v>
      </c>
      <c r="E305" s="265" t="s">
        <v>1004</v>
      </c>
      <c r="F305" s="265" t="s">
        <v>1005</v>
      </c>
      <c r="G305" s="265" t="s">
        <v>1006</v>
      </c>
      <c r="H305" s="265" t="s">
        <v>1007</v>
      </c>
      <c r="I305" s="265" t="s">
        <v>1008</v>
      </c>
      <c r="J305" s="265" t="s">
        <v>1009</v>
      </c>
    </row>
    <row r="306" spans="2:10">
      <c r="B306" s="295" t="s">
        <v>927</v>
      </c>
      <c r="C306" s="267" t="s">
        <v>897</v>
      </c>
      <c r="D306" s="267">
        <v>88247</v>
      </c>
      <c r="E306" s="268">
        <v>0.65</v>
      </c>
      <c r="F306" s="268"/>
      <c r="G306" s="541">
        <f>(17.1/1.915)</f>
        <v>8.9295039164490859</v>
      </c>
      <c r="H306" s="268">
        <v>0</v>
      </c>
      <c r="I306" s="268">
        <f>ROUND(G306*(1+$J$10),2)</f>
        <v>17.100000000000001</v>
      </c>
      <c r="J306" s="269">
        <f>I306*E306</f>
        <v>11.115000000000002</v>
      </c>
    </row>
    <row r="307" spans="2:10">
      <c r="B307" s="295" t="s">
        <v>928</v>
      </c>
      <c r="C307" s="267" t="s">
        <v>897</v>
      </c>
      <c r="D307" s="267">
        <v>88264</v>
      </c>
      <c r="E307" s="268">
        <v>0.65</v>
      </c>
      <c r="F307" s="268"/>
      <c r="G307" s="541">
        <f>21.24/1.915</f>
        <v>11.091383812010443</v>
      </c>
      <c r="H307" s="268">
        <v>0</v>
      </c>
      <c r="I307" s="268">
        <f>ROUND(G307*(1+$J$10),2)</f>
        <v>21.24</v>
      </c>
      <c r="J307" s="269">
        <f>I307*E307</f>
        <v>13.805999999999999</v>
      </c>
    </row>
    <row r="308" spans="2:10">
      <c r="B308" s="266"/>
      <c r="C308" s="267"/>
      <c r="D308" s="267"/>
      <c r="E308" s="268"/>
      <c r="F308" s="268"/>
      <c r="G308" s="268"/>
      <c r="H308" s="268">
        <v>0</v>
      </c>
      <c r="I308" s="268">
        <f>ROUND(G308*(1+$J$10),2)</f>
        <v>0</v>
      </c>
      <c r="J308" s="269">
        <f>I308*E308</f>
        <v>0</v>
      </c>
    </row>
    <row r="309" spans="2:10">
      <c r="B309" s="266"/>
      <c r="C309" s="267"/>
      <c r="D309" s="267"/>
      <c r="E309" s="268"/>
      <c r="F309" s="268"/>
      <c r="G309" s="268"/>
      <c r="H309" s="268"/>
      <c r="I309" s="268"/>
      <c r="J309" s="269"/>
    </row>
    <row r="310" spans="2:10">
      <c r="B310" s="266"/>
      <c r="C310" s="267"/>
      <c r="D310" s="267"/>
      <c r="E310" s="268"/>
      <c r="F310" s="268"/>
      <c r="G310" s="268"/>
      <c r="H310" s="268"/>
      <c r="I310" s="268"/>
      <c r="J310" s="269"/>
    </row>
    <row r="311" spans="2:10">
      <c r="B311" s="266"/>
      <c r="C311" s="266"/>
      <c r="D311" s="267"/>
      <c r="E311" s="267"/>
      <c r="F311" s="268"/>
      <c r="G311" s="268"/>
      <c r="H311" s="268"/>
      <c r="I311" s="268"/>
      <c r="J311" s="269"/>
    </row>
    <row r="312" spans="2:10">
      <c r="B312" s="686" t="s">
        <v>1011</v>
      </c>
      <c r="C312" s="687"/>
      <c r="D312" s="687"/>
      <c r="E312" s="687"/>
      <c r="F312" s="687"/>
      <c r="G312" s="687"/>
      <c r="H312" s="687"/>
      <c r="I312" s="688"/>
      <c r="J312" s="270">
        <f>ROUND(SUM(J306:J311),2)</f>
        <v>24.92</v>
      </c>
    </row>
    <row r="313" spans="2:10">
      <c r="B313" s="689"/>
      <c r="C313" s="689"/>
      <c r="D313" s="689"/>
      <c r="E313" s="689"/>
      <c r="F313" s="689"/>
      <c r="G313" s="689"/>
      <c r="H313" s="689"/>
      <c r="I313" s="689"/>
      <c r="J313" s="689"/>
    </row>
    <row r="314" spans="2:10" ht="30">
      <c r="B314" s="263" t="s">
        <v>1012</v>
      </c>
      <c r="C314" s="264" t="s">
        <v>1002</v>
      </c>
      <c r="D314" s="264" t="s">
        <v>1072</v>
      </c>
      <c r="E314" s="265" t="s">
        <v>1004</v>
      </c>
      <c r="F314" s="265" t="s">
        <v>1005</v>
      </c>
      <c r="G314" s="265" t="s">
        <v>1006</v>
      </c>
      <c r="H314" s="265" t="s">
        <v>1007</v>
      </c>
      <c r="I314" s="265" t="s">
        <v>1008</v>
      </c>
      <c r="J314" s="265" t="s">
        <v>1009</v>
      </c>
    </row>
    <row r="315" spans="2:10">
      <c r="B315" s="295" t="s">
        <v>1122</v>
      </c>
      <c r="C315" s="296" t="s">
        <v>698</v>
      </c>
      <c r="D315" s="267"/>
      <c r="E315" s="268">
        <v>1</v>
      </c>
      <c r="F315" s="268">
        <v>1</v>
      </c>
      <c r="G315" s="268">
        <v>44.02</v>
      </c>
      <c r="H315" s="268">
        <v>0</v>
      </c>
      <c r="I315" s="268">
        <f>G315</f>
        <v>44.02</v>
      </c>
      <c r="J315" s="269">
        <f>I315*E315</f>
        <v>44.02</v>
      </c>
    </row>
    <row r="316" spans="2:10">
      <c r="B316" s="295"/>
      <c r="C316" s="296"/>
      <c r="D316" s="267"/>
      <c r="E316" s="268"/>
      <c r="F316" s="268"/>
      <c r="G316" s="268"/>
      <c r="H316" s="268">
        <v>0</v>
      </c>
      <c r="I316" s="268">
        <f>G316</f>
        <v>0</v>
      </c>
      <c r="J316" s="269">
        <f>I316*E316</f>
        <v>0</v>
      </c>
    </row>
    <row r="317" spans="2:10">
      <c r="B317" s="295"/>
      <c r="C317" s="296"/>
      <c r="D317" s="267"/>
      <c r="E317" s="268"/>
      <c r="F317" s="268"/>
      <c r="G317" s="268"/>
      <c r="H317" s="268"/>
      <c r="I317" s="268"/>
      <c r="J317" s="269"/>
    </row>
    <row r="318" spans="2:10">
      <c r="B318" s="295"/>
      <c r="C318" s="296"/>
      <c r="D318" s="296"/>
      <c r="E318" s="268"/>
      <c r="F318" s="268"/>
      <c r="G318" s="268"/>
      <c r="H318" s="268"/>
      <c r="I318" s="268"/>
      <c r="J318" s="269"/>
    </row>
    <row r="319" spans="2:10">
      <c r="B319" s="295"/>
      <c r="C319" s="266"/>
      <c r="D319" s="267"/>
      <c r="E319" s="267"/>
      <c r="F319" s="268"/>
      <c r="G319" s="268"/>
      <c r="H319" s="268"/>
      <c r="I319" s="268"/>
      <c r="J319" s="269"/>
    </row>
    <row r="320" spans="2:10">
      <c r="B320" s="266"/>
      <c r="C320" s="266"/>
      <c r="D320" s="267"/>
      <c r="E320" s="267"/>
      <c r="F320" s="268"/>
      <c r="G320" s="268"/>
      <c r="H320" s="268"/>
      <c r="I320" s="268"/>
      <c r="J320" s="269"/>
    </row>
    <row r="321" spans="2:10">
      <c r="B321" s="266"/>
      <c r="C321" s="266"/>
      <c r="D321" s="267"/>
      <c r="E321" s="267"/>
      <c r="F321" s="268"/>
      <c r="G321" s="268"/>
      <c r="H321" s="268"/>
      <c r="I321" s="268"/>
      <c r="J321" s="269"/>
    </row>
    <row r="322" spans="2:10">
      <c r="B322" s="266"/>
      <c r="C322" s="266"/>
      <c r="D322" s="267"/>
      <c r="E322" s="267"/>
      <c r="F322" s="268"/>
      <c r="G322" s="268"/>
      <c r="H322" s="268"/>
      <c r="I322" s="268"/>
      <c r="J322" s="269"/>
    </row>
    <row r="323" spans="2:10">
      <c r="B323" s="266"/>
      <c r="C323" s="266"/>
      <c r="D323" s="267"/>
      <c r="E323" s="267"/>
      <c r="F323" s="268"/>
      <c r="G323" s="268"/>
      <c r="H323" s="268"/>
      <c r="I323" s="268"/>
      <c r="J323" s="269"/>
    </row>
    <row r="324" spans="2:10">
      <c r="B324" s="266"/>
      <c r="C324" s="266"/>
      <c r="D324" s="267"/>
      <c r="E324" s="267"/>
      <c r="F324" s="268"/>
      <c r="G324" s="268"/>
      <c r="H324" s="268"/>
      <c r="I324" s="268"/>
      <c r="J324" s="269"/>
    </row>
    <row r="325" spans="2:10">
      <c r="B325" s="266"/>
      <c r="C325" s="266"/>
      <c r="D325" s="267"/>
      <c r="E325" s="267"/>
      <c r="F325" s="268"/>
      <c r="G325" s="268"/>
      <c r="H325" s="268"/>
      <c r="I325" s="268"/>
      <c r="J325" s="269"/>
    </row>
    <row r="326" spans="2:10">
      <c r="B326" s="266"/>
      <c r="C326" s="266"/>
      <c r="D326" s="267"/>
      <c r="E326" s="267"/>
      <c r="F326" s="268"/>
      <c r="G326" s="268"/>
      <c r="H326" s="268"/>
      <c r="I326" s="268"/>
      <c r="J326" s="269"/>
    </row>
    <row r="327" spans="2:10">
      <c r="B327" s="266"/>
      <c r="C327" s="266"/>
      <c r="D327" s="267"/>
      <c r="E327" s="267"/>
      <c r="F327" s="268"/>
      <c r="G327" s="268"/>
      <c r="H327" s="268"/>
      <c r="I327" s="268"/>
      <c r="J327" s="269"/>
    </row>
    <row r="328" spans="2:10">
      <c r="B328" s="266"/>
      <c r="C328" s="266"/>
      <c r="D328" s="267"/>
      <c r="E328" s="267"/>
      <c r="F328" s="268"/>
      <c r="G328" s="268"/>
      <c r="H328" s="268"/>
      <c r="I328" s="268"/>
      <c r="J328" s="269"/>
    </row>
    <row r="329" spans="2:10">
      <c r="B329" s="266"/>
      <c r="C329" s="266"/>
      <c r="D329" s="267"/>
      <c r="E329" s="267"/>
      <c r="F329" s="268"/>
      <c r="G329" s="268"/>
      <c r="H329" s="268"/>
      <c r="I329" s="268"/>
      <c r="J329" s="269"/>
    </row>
    <row r="330" spans="2:10">
      <c r="B330" s="266"/>
      <c r="C330" s="266"/>
      <c r="D330" s="267"/>
      <c r="E330" s="267"/>
      <c r="F330" s="268"/>
      <c r="G330" s="268"/>
      <c r="H330" s="268"/>
      <c r="I330" s="268"/>
      <c r="J330" s="269"/>
    </row>
    <row r="331" spans="2:10">
      <c r="B331" s="266"/>
      <c r="C331" s="266"/>
      <c r="D331" s="267"/>
      <c r="E331" s="267"/>
      <c r="F331" s="268"/>
      <c r="G331" s="268"/>
      <c r="H331" s="268"/>
      <c r="I331" s="268"/>
      <c r="J331" s="269"/>
    </row>
    <row r="332" spans="2:10">
      <c r="B332" s="266"/>
      <c r="C332" s="266"/>
      <c r="D332" s="267"/>
      <c r="E332" s="267"/>
      <c r="F332" s="268"/>
      <c r="G332" s="268"/>
      <c r="H332" s="268"/>
      <c r="I332" s="268"/>
      <c r="J332" s="269"/>
    </row>
    <row r="333" spans="2:10">
      <c r="B333" s="686" t="s">
        <v>1011</v>
      </c>
      <c r="C333" s="687"/>
      <c r="D333" s="687"/>
      <c r="E333" s="687"/>
      <c r="F333" s="687"/>
      <c r="G333" s="687"/>
      <c r="H333" s="687"/>
      <c r="I333" s="688"/>
      <c r="J333" s="270">
        <f>ROUND(SUM(J315:J332),2)</f>
        <v>44.02</v>
      </c>
    </row>
    <row r="334" spans="2:10">
      <c r="B334" s="690"/>
      <c r="C334" s="690"/>
      <c r="D334" s="690"/>
      <c r="E334" s="690"/>
      <c r="F334" s="690"/>
      <c r="G334" s="690"/>
      <c r="H334" s="690"/>
      <c r="I334" s="690"/>
      <c r="J334" s="690"/>
    </row>
    <row r="335" spans="2:10" ht="30">
      <c r="B335" s="263" t="s">
        <v>1013</v>
      </c>
      <c r="C335" s="264" t="s">
        <v>1002</v>
      </c>
      <c r="D335" s="264" t="s">
        <v>1003</v>
      </c>
      <c r="E335" s="265" t="s">
        <v>1004</v>
      </c>
      <c r="F335" s="265" t="s">
        <v>1005</v>
      </c>
      <c r="G335" s="265" t="s">
        <v>1006</v>
      </c>
      <c r="H335" s="265" t="s">
        <v>1007</v>
      </c>
      <c r="I335" s="265" t="s">
        <v>1008</v>
      </c>
      <c r="J335" s="265" t="s">
        <v>1009</v>
      </c>
    </row>
    <row r="336" spans="2:10">
      <c r="B336" s="266"/>
      <c r="C336" s="267"/>
      <c r="D336" s="267"/>
      <c r="E336" s="268"/>
      <c r="F336" s="268"/>
      <c r="G336" s="268"/>
      <c r="H336" s="268"/>
      <c r="I336" s="268"/>
      <c r="J336" s="271"/>
    </row>
    <row r="337" spans="2:10">
      <c r="B337" s="266"/>
      <c r="C337" s="267"/>
      <c r="D337" s="267"/>
      <c r="E337" s="268"/>
      <c r="F337" s="268"/>
      <c r="G337" s="268"/>
      <c r="H337" s="268"/>
      <c r="I337" s="268"/>
      <c r="J337" s="271"/>
    </row>
    <row r="338" spans="2:10">
      <c r="B338" s="266"/>
      <c r="C338" s="267"/>
      <c r="D338" s="267"/>
      <c r="E338" s="268"/>
      <c r="F338" s="268"/>
      <c r="G338" s="268"/>
      <c r="H338" s="268"/>
      <c r="I338" s="268"/>
      <c r="J338" s="271"/>
    </row>
    <row r="339" spans="2:10">
      <c r="B339" s="266"/>
      <c r="C339" s="267"/>
      <c r="D339" s="267"/>
      <c r="E339" s="268"/>
      <c r="F339" s="268"/>
      <c r="G339" s="268"/>
      <c r="H339" s="268"/>
      <c r="I339" s="268"/>
      <c r="J339" s="271"/>
    </row>
    <row r="340" spans="2:10">
      <c r="B340" s="266"/>
      <c r="C340" s="266"/>
      <c r="D340" s="267"/>
      <c r="E340" s="267"/>
      <c r="F340" s="268"/>
      <c r="G340" s="268"/>
      <c r="H340" s="268"/>
      <c r="I340" s="268"/>
      <c r="J340" s="271"/>
    </row>
    <row r="341" spans="2:10">
      <c r="B341" s="686" t="s">
        <v>1011</v>
      </c>
      <c r="C341" s="687"/>
      <c r="D341" s="687"/>
      <c r="E341" s="687"/>
      <c r="F341" s="687"/>
      <c r="G341" s="687"/>
      <c r="H341" s="687"/>
      <c r="I341" s="688"/>
      <c r="J341" s="270">
        <f>ROUND(SUM(J336:J340),2)</f>
        <v>0</v>
      </c>
    </row>
    <row r="342" spans="2:10">
      <c r="B342" s="262"/>
      <c r="C342" s="262"/>
      <c r="D342" s="262"/>
      <c r="E342" s="262"/>
      <c r="F342" s="262"/>
      <c r="G342" s="262"/>
      <c r="H342" s="262"/>
      <c r="I342" s="262"/>
      <c r="J342" s="262"/>
    </row>
    <row r="343" spans="2:10">
      <c r="B343" s="691" t="s">
        <v>1014</v>
      </c>
      <c r="C343" s="691"/>
      <c r="D343" s="691"/>
      <c r="E343" s="691"/>
      <c r="F343" s="691"/>
      <c r="G343" s="691"/>
      <c r="H343" s="262"/>
      <c r="I343" s="262"/>
      <c r="J343" s="262"/>
    </row>
    <row r="344" spans="2:10">
      <c r="B344" s="692" t="s">
        <v>1015</v>
      </c>
      <c r="C344" s="693"/>
      <c r="D344" s="693"/>
      <c r="E344" s="694"/>
      <c r="F344" s="265" t="s">
        <v>1016</v>
      </c>
      <c r="G344" s="265" t="s">
        <v>1017</v>
      </c>
      <c r="H344" s="262"/>
      <c r="I344" s="262"/>
      <c r="J344" s="262"/>
    </row>
    <row r="345" spans="2:10">
      <c r="B345" s="678" t="s">
        <v>1018</v>
      </c>
      <c r="C345" s="679"/>
      <c r="D345" s="679"/>
      <c r="E345" s="680"/>
      <c r="F345" s="681">
        <f>$J$10</f>
        <v>0.91500000000000004</v>
      </c>
      <c r="G345" s="272">
        <f>J312</f>
        <v>24.92</v>
      </c>
      <c r="H345" s="262"/>
      <c r="I345" s="262"/>
      <c r="J345" s="262"/>
    </row>
    <row r="346" spans="2:10">
      <c r="B346" s="678" t="s">
        <v>1019</v>
      </c>
      <c r="C346" s="679"/>
      <c r="D346" s="679"/>
      <c r="E346" s="680"/>
      <c r="F346" s="695"/>
      <c r="G346" s="272">
        <f>J333</f>
        <v>44.02</v>
      </c>
      <c r="H346" s="262"/>
      <c r="I346" s="262"/>
      <c r="J346" s="262"/>
    </row>
    <row r="347" spans="2:10">
      <c r="B347" s="678" t="s">
        <v>1020</v>
      </c>
      <c r="C347" s="679"/>
      <c r="D347" s="679"/>
      <c r="E347" s="680"/>
      <c r="F347" s="695"/>
      <c r="G347" s="272">
        <f>J341</f>
        <v>0</v>
      </c>
      <c r="H347" s="262"/>
      <c r="I347" s="262"/>
      <c r="J347" s="262"/>
    </row>
    <row r="348" spans="2:10">
      <c r="B348" s="678" t="s">
        <v>1021</v>
      </c>
      <c r="C348" s="679"/>
      <c r="D348" s="679"/>
      <c r="E348" s="680"/>
      <c r="F348" s="695"/>
      <c r="G348" s="272">
        <v>1</v>
      </c>
      <c r="H348" s="262"/>
      <c r="I348" s="262"/>
      <c r="J348" s="262"/>
    </row>
    <row r="349" spans="2:10">
      <c r="B349" s="678" t="s">
        <v>1022</v>
      </c>
      <c r="C349" s="679"/>
      <c r="D349" s="679"/>
      <c r="E349" s="680"/>
      <c r="F349" s="695"/>
      <c r="G349" s="272">
        <f>G345+G347</f>
        <v>24.92</v>
      </c>
      <c r="H349" s="262"/>
      <c r="I349" s="262"/>
      <c r="J349" s="262"/>
    </row>
    <row r="350" spans="2:10">
      <c r="B350" s="678" t="s">
        <v>1023</v>
      </c>
      <c r="C350" s="679"/>
      <c r="D350" s="679"/>
      <c r="E350" s="680"/>
      <c r="F350" s="695"/>
      <c r="G350" s="272">
        <f>G349/G348</f>
        <v>24.92</v>
      </c>
      <c r="H350" s="262"/>
      <c r="I350" s="262"/>
      <c r="J350" s="262"/>
    </row>
    <row r="351" spans="2:10">
      <c r="B351" s="678" t="s">
        <v>1024</v>
      </c>
      <c r="C351" s="679"/>
      <c r="D351" s="679"/>
      <c r="E351" s="680"/>
      <c r="F351" s="682"/>
      <c r="G351" s="272">
        <f>G346+G350</f>
        <v>68.94</v>
      </c>
      <c r="H351" s="262"/>
      <c r="I351" s="262"/>
      <c r="J351" s="262"/>
    </row>
    <row r="352" spans="2:10">
      <c r="B352" s="678" t="s">
        <v>1025</v>
      </c>
      <c r="C352" s="679"/>
      <c r="D352" s="679"/>
      <c r="E352" s="680"/>
      <c r="F352" s="681">
        <f>$J$11</f>
        <v>0.28220000000000001</v>
      </c>
      <c r="G352" s="272">
        <f>G351*F352</f>
        <v>19.454868000000001</v>
      </c>
      <c r="H352" s="262"/>
      <c r="I352" s="262"/>
      <c r="J352" s="262"/>
    </row>
    <row r="353" spans="2:10">
      <c r="B353" s="683" t="s">
        <v>1026</v>
      </c>
      <c r="C353" s="684"/>
      <c r="D353" s="684"/>
      <c r="E353" s="685"/>
      <c r="F353" s="682"/>
      <c r="G353" s="273">
        <f>ROUND(SUM(G351+G352),2)</f>
        <v>88.39</v>
      </c>
      <c r="H353" s="262"/>
      <c r="I353" s="262"/>
      <c r="J353" s="307"/>
    </row>
    <row r="354" spans="2:10" ht="15.75" thickBot="1"/>
    <row r="355" spans="2:10" ht="15.75" thickBot="1">
      <c r="B355" s="696" t="s">
        <v>990</v>
      </c>
      <c r="C355" s="697"/>
      <c r="D355" s="697"/>
      <c r="E355" s="697"/>
      <c r="F355" s="697"/>
      <c r="G355" s="697"/>
      <c r="H355" s="697"/>
      <c r="I355" s="697"/>
      <c r="J355" s="698"/>
    </row>
    <row r="356" spans="2:10">
      <c r="B356" s="699" t="s">
        <v>1713</v>
      </c>
      <c r="C356" s="699"/>
      <c r="D356" s="699"/>
      <c r="E356" s="699"/>
      <c r="F356" s="699"/>
      <c r="G356" s="699"/>
      <c r="H356" s="699"/>
      <c r="I356" s="699"/>
      <c r="J356" s="699"/>
    </row>
    <row r="357" spans="2:10" ht="15.75" thickBot="1">
      <c r="B357" s="699" t="s">
        <v>8</v>
      </c>
      <c r="C357" s="699"/>
      <c r="D357" s="699"/>
      <c r="E357" s="699"/>
      <c r="F357" s="699"/>
      <c r="G357" s="699"/>
      <c r="H357" s="699"/>
      <c r="I357" s="699"/>
      <c r="J357" s="699"/>
    </row>
    <row r="358" spans="2:10">
      <c r="B358" s="700" t="s">
        <v>991</v>
      </c>
      <c r="C358" s="249" t="s">
        <v>992</v>
      </c>
      <c r="D358" s="250">
        <v>6</v>
      </c>
      <c r="E358" s="251" t="s">
        <v>993</v>
      </c>
      <c r="F358" s="252">
        <v>2017</v>
      </c>
      <c r="G358" s="253"/>
      <c r="H358" s="253"/>
      <c r="I358" s="251" t="s">
        <v>994</v>
      </c>
      <c r="J358" s="306" t="s">
        <v>1585</v>
      </c>
    </row>
    <row r="359" spans="2:10">
      <c r="B359" s="701"/>
      <c r="C359" s="255" t="s">
        <v>995</v>
      </c>
      <c r="D359" s="703" t="s">
        <v>1058</v>
      </c>
      <c r="E359" s="704"/>
      <c r="F359" s="256"/>
      <c r="G359" s="256"/>
      <c r="H359" s="256"/>
      <c r="I359" s="256"/>
      <c r="J359" s="257"/>
    </row>
    <row r="360" spans="2:10" ht="30.75" customHeight="1">
      <c r="B360" s="701"/>
      <c r="C360" s="255" t="s">
        <v>997</v>
      </c>
      <c r="D360" s="705" t="s">
        <v>434</v>
      </c>
      <c r="E360" s="705"/>
      <c r="F360" s="705"/>
      <c r="G360" s="705"/>
      <c r="H360" s="705"/>
      <c r="I360" s="705"/>
      <c r="J360" s="706"/>
    </row>
    <row r="361" spans="2:10" ht="15.75" thickBot="1">
      <c r="B361" s="702"/>
      <c r="C361" s="258" t="s">
        <v>999</v>
      </c>
      <c r="D361" s="308" t="s">
        <v>801</v>
      </c>
      <c r="E361" s="260"/>
      <c r="F361" s="260"/>
      <c r="G361" s="260"/>
      <c r="H361" s="260"/>
      <c r="I361" s="260"/>
      <c r="J361" s="261"/>
    </row>
    <row r="362" spans="2:10">
      <c r="B362" s="262"/>
      <c r="C362" s="262"/>
      <c r="D362" s="262"/>
      <c r="E362" s="262"/>
      <c r="F362" s="262"/>
      <c r="G362" s="262"/>
      <c r="H362" s="262"/>
      <c r="I362" s="262"/>
      <c r="J362" s="262"/>
    </row>
    <row r="363" spans="2:10" ht="30">
      <c r="B363" s="263" t="s">
        <v>1001</v>
      </c>
      <c r="C363" s="264" t="s">
        <v>1002</v>
      </c>
      <c r="D363" s="264" t="s">
        <v>1003</v>
      </c>
      <c r="E363" s="265" t="s">
        <v>1004</v>
      </c>
      <c r="F363" s="265" t="s">
        <v>1005</v>
      </c>
      <c r="G363" s="265" t="s">
        <v>1006</v>
      </c>
      <c r="H363" s="265" t="s">
        <v>1007</v>
      </c>
      <c r="I363" s="265" t="s">
        <v>1008</v>
      </c>
      <c r="J363" s="265" t="s">
        <v>1009</v>
      </c>
    </row>
    <row r="364" spans="2:10">
      <c r="B364" s="295" t="s">
        <v>927</v>
      </c>
      <c r="C364" s="267" t="s">
        <v>897</v>
      </c>
      <c r="D364" s="267">
        <v>88247</v>
      </c>
      <c r="E364" s="268">
        <v>0.2</v>
      </c>
      <c r="F364" s="268"/>
      <c r="G364" s="541">
        <f>(17.1/1.915)</f>
        <v>8.9295039164490859</v>
      </c>
      <c r="H364" s="268">
        <v>0</v>
      </c>
      <c r="I364" s="268">
        <f>ROUND(G364*(1+$J$10),2)</f>
        <v>17.100000000000001</v>
      </c>
      <c r="J364" s="269">
        <f>I364*E364</f>
        <v>3.4200000000000004</v>
      </c>
    </row>
    <row r="365" spans="2:10">
      <c r="B365" s="295" t="s">
        <v>928</v>
      </c>
      <c r="C365" s="267" t="s">
        <v>897</v>
      </c>
      <c r="D365" s="267">
        <v>88264</v>
      </c>
      <c r="E365" s="268">
        <v>0.2</v>
      </c>
      <c r="F365" s="268"/>
      <c r="G365" s="541">
        <f>21.24/1.915</f>
        <v>11.091383812010443</v>
      </c>
      <c r="H365" s="268">
        <v>0</v>
      </c>
      <c r="I365" s="268">
        <f>ROUND(G365*(1+$J$10),2)</f>
        <v>21.24</v>
      </c>
      <c r="J365" s="269">
        <f>I365*E365</f>
        <v>4.2480000000000002</v>
      </c>
    </row>
    <row r="366" spans="2:10">
      <c r="B366" s="266"/>
      <c r="C366" s="267"/>
      <c r="D366" s="267"/>
      <c r="E366" s="268"/>
      <c r="F366" s="268"/>
      <c r="G366" s="268"/>
      <c r="H366" s="268">
        <v>0</v>
      </c>
      <c r="I366" s="268">
        <f>ROUND(G366*(1+$J$10),2)</f>
        <v>0</v>
      </c>
      <c r="J366" s="269">
        <f>I366*E366</f>
        <v>0</v>
      </c>
    </row>
    <row r="367" spans="2:10">
      <c r="B367" s="266"/>
      <c r="C367" s="267"/>
      <c r="D367" s="267"/>
      <c r="E367" s="268"/>
      <c r="F367" s="268"/>
      <c r="G367" s="268"/>
      <c r="H367" s="268"/>
      <c r="I367" s="268"/>
      <c r="J367" s="269"/>
    </row>
    <row r="368" spans="2:10">
      <c r="B368" s="266"/>
      <c r="C368" s="267"/>
      <c r="D368" s="267"/>
      <c r="E368" s="268"/>
      <c r="F368" s="268"/>
      <c r="G368" s="268"/>
      <c r="H368" s="268"/>
      <c r="I368" s="268"/>
      <c r="J368" s="269"/>
    </row>
    <row r="369" spans="2:10">
      <c r="B369" s="266"/>
      <c r="C369" s="266"/>
      <c r="D369" s="267"/>
      <c r="E369" s="267"/>
      <c r="F369" s="268"/>
      <c r="G369" s="268"/>
      <c r="H369" s="268"/>
      <c r="I369" s="268"/>
      <c r="J369" s="269"/>
    </row>
    <row r="370" spans="2:10">
      <c r="B370" s="686" t="s">
        <v>1011</v>
      </c>
      <c r="C370" s="687"/>
      <c r="D370" s="687"/>
      <c r="E370" s="687"/>
      <c r="F370" s="687"/>
      <c r="G370" s="687"/>
      <c r="H370" s="687"/>
      <c r="I370" s="688"/>
      <c r="J370" s="270">
        <f>ROUND(SUM(J364:J369),2)</f>
        <v>7.67</v>
      </c>
    </row>
    <row r="371" spans="2:10">
      <c r="B371" s="689"/>
      <c r="C371" s="689"/>
      <c r="D371" s="689"/>
      <c r="E371" s="689"/>
      <c r="F371" s="689"/>
      <c r="G371" s="689"/>
      <c r="H371" s="689"/>
      <c r="I371" s="689"/>
      <c r="J371" s="689"/>
    </row>
    <row r="372" spans="2:10" ht="30">
      <c r="B372" s="263" t="s">
        <v>1012</v>
      </c>
      <c r="C372" s="264" t="s">
        <v>1002</v>
      </c>
      <c r="D372" s="264" t="s">
        <v>1072</v>
      </c>
      <c r="E372" s="265" t="s">
        <v>1004</v>
      </c>
      <c r="F372" s="265" t="s">
        <v>1005</v>
      </c>
      <c r="G372" s="265" t="s">
        <v>1006</v>
      </c>
      <c r="H372" s="265" t="s">
        <v>1007</v>
      </c>
      <c r="I372" s="265" t="s">
        <v>1008</v>
      </c>
      <c r="J372" s="265" t="s">
        <v>1009</v>
      </c>
    </row>
    <row r="373" spans="2:10" ht="30">
      <c r="B373" s="295" t="s">
        <v>1125</v>
      </c>
      <c r="C373" s="296" t="s">
        <v>698</v>
      </c>
      <c r="D373" s="267"/>
      <c r="E373" s="268">
        <v>1</v>
      </c>
      <c r="F373" s="268">
        <v>1</v>
      </c>
      <c r="G373" s="268">
        <v>52.81</v>
      </c>
      <c r="H373" s="268">
        <v>0</v>
      </c>
      <c r="I373" s="268">
        <f>G373</f>
        <v>52.81</v>
      </c>
      <c r="J373" s="269">
        <f>I373*E373</f>
        <v>52.81</v>
      </c>
    </row>
    <row r="374" spans="2:10">
      <c r="B374" s="295"/>
      <c r="C374" s="296"/>
      <c r="D374" s="267"/>
      <c r="E374" s="268"/>
      <c r="F374" s="268"/>
      <c r="G374" s="268"/>
      <c r="H374" s="268">
        <v>0</v>
      </c>
      <c r="I374" s="268">
        <f>G374</f>
        <v>0</v>
      </c>
      <c r="J374" s="269">
        <f>I374*E374</f>
        <v>0</v>
      </c>
    </row>
    <row r="375" spans="2:10">
      <c r="B375" s="295"/>
      <c r="C375" s="296"/>
      <c r="D375" s="267"/>
      <c r="E375" s="268"/>
      <c r="F375" s="268"/>
      <c r="G375" s="268"/>
      <c r="H375" s="268"/>
      <c r="I375" s="268"/>
      <c r="J375" s="269"/>
    </row>
    <row r="376" spans="2:10">
      <c r="B376" s="295"/>
      <c r="C376" s="296"/>
      <c r="D376" s="296"/>
      <c r="E376" s="268"/>
      <c r="F376" s="268"/>
      <c r="G376" s="268"/>
      <c r="H376" s="268"/>
      <c r="I376" s="268"/>
      <c r="J376" s="269"/>
    </row>
    <row r="377" spans="2:10">
      <c r="B377" s="295"/>
      <c r="C377" s="266"/>
      <c r="D377" s="267"/>
      <c r="E377" s="267"/>
      <c r="F377" s="268"/>
      <c r="G377" s="268"/>
      <c r="H377" s="268"/>
      <c r="I377" s="268"/>
      <c r="J377" s="269"/>
    </row>
    <row r="378" spans="2:10">
      <c r="B378" s="266"/>
      <c r="C378" s="266"/>
      <c r="D378" s="267"/>
      <c r="E378" s="267"/>
      <c r="F378" s="268"/>
      <c r="G378" s="268"/>
      <c r="H378" s="268"/>
      <c r="I378" s="268"/>
      <c r="J378" s="269"/>
    </row>
    <row r="379" spans="2:10">
      <c r="B379" s="266"/>
      <c r="C379" s="266"/>
      <c r="D379" s="267"/>
      <c r="E379" s="267"/>
      <c r="F379" s="268"/>
      <c r="G379" s="268"/>
      <c r="H379" s="268"/>
      <c r="I379" s="268"/>
      <c r="J379" s="269"/>
    </row>
    <row r="380" spans="2:10">
      <c r="B380" s="266"/>
      <c r="C380" s="266"/>
      <c r="D380" s="267"/>
      <c r="E380" s="267"/>
      <c r="F380" s="268"/>
      <c r="G380" s="268"/>
      <c r="H380" s="268"/>
      <c r="I380" s="268"/>
      <c r="J380" s="269"/>
    </row>
    <row r="381" spans="2:10">
      <c r="B381" s="266"/>
      <c r="C381" s="266"/>
      <c r="D381" s="267"/>
      <c r="E381" s="267"/>
      <c r="F381" s="268"/>
      <c r="G381" s="268"/>
      <c r="H381" s="268"/>
      <c r="I381" s="268"/>
      <c r="J381" s="269"/>
    </row>
    <row r="382" spans="2:10">
      <c r="B382" s="266"/>
      <c r="C382" s="266"/>
      <c r="D382" s="267"/>
      <c r="E382" s="267"/>
      <c r="F382" s="268"/>
      <c r="G382" s="268"/>
      <c r="H382" s="268"/>
      <c r="I382" s="268"/>
      <c r="J382" s="269"/>
    </row>
    <row r="383" spans="2:10">
      <c r="B383" s="266"/>
      <c r="C383" s="266"/>
      <c r="D383" s="267"/>
      <c r="E383" s="267"/>
      <c r="F383" s="268"/>
      <c r="G383" s="268"/>
      <c r="H383" s="268"/>
      <c r="I383" s="268"/>
      <c r="J383" s="269"/>
    </row>
    <row r="384" spans="2:10">
      <c r="B384" s="266"/>
      <c r="C384" s="266"/>
      <c r="D384" s="267"/>
      <c r="E384" s="267"/>
      <c r="F384" s="268"/>
      <c r="G384" s="268"/>
      <c r="H384" s="268"/>
      <c r="I384" s="268"/>
      <c r="J384" s="269"/>
    </row>
    <row r="385" spans="2:10">
      <c r="B385" s="266"/>
      <c r="C385" s="266"/>
      <c r="D385" s="267"/>
      <c r="E385" s="267"/>
      <c r="F385" s="268"/>
      <c r="G385" s="268"/>
      <c r="H385" s="268"/>
      <c r="I385" s="268"/>
      <c r="J385" s="269"/>
    </row>
    <row r="386" spans="2:10">
      <c r="B386" s="266"/>
      <c r="C386" s="266"/>
      <c r="D386" s="267"/>
      <c r="E386" s="267"/>
      <c r="F386" s="268"/>
      <c r="G386" s="268"/>
      <c r="H386" s="268"/>
      <c r="I386" s="268"/>
      <c r="J386" s="269"/>
    </row>
    <row r="387" spans="2:10">
      <c r="B387" s="266"/>
      <c r="C387" s="266"/>
      <c r="D387" s="267"/>
      <c r="E387" s="267"/>
      <c r="F387" s="268"/>
      <c r="G387" s="268"/>
      <c r="H387" s="268"/>
      <c r="I387" s="268"/>
      <c r="J387" s="269"/>
    </row>
    <row r="388" spans="2:10">
      <c r="B388" s="266"/>
      <c r="C388" s="266"/>
      <c r="D388" s="267"/>
      <c r="E388" s="267"/>
      <c r="F388" s="268"/>
      <c r="G388" s="268"/>
      <c r="H388" s="268"/>
      <c r="I388" s="268"/>
      <c r="J388" s="269"/>
    </row>
    <row r="389" spans="2:10">
      <c r="B389" s="686" t="s">
        <v>1011</v>
      </c>
      <c r="C389" s="687"/>
      <c r="D389" s="687"/>
      <c r="E389" s="687"/>
      <c r="F389" s="687"/>
      <c r="G389" s="687"/>
      <c r="H389" s="687"/>
      <c r="I389" s="688"/>
      <c r="J389" s="270">
        <f>ROUND(SUM(J373:J388),2)</f>
        <v>52.81</v>
      </c>
    </row>
    <row r="390" spans="2:10">
      <c r="B390" s="690"/>
      <c r="C390" s="690"/>
      <c r="D390" s="690"/>
      <c r="E390" s="690"/>
      <c r="F390" s="690"/>
      <c r="G390" s="690"/>
      <c r="H390" s="690"/>
      <c r="I390" s="690"/>
      <c r="J390" s="690"/>
    </row>
    <row r="391" spans="2:10" ht="30">
      <c r="B391" s="263" t="s">
        <v>1013</v>
      </c>
      <c r="C391" s="264" t="s">
        <v>1002</v>
      </c>
      <c r="D391" s="264" t="s">
        <v>1003</v>
      </c>
      <c r="E391" s="265" t="s">
        <v>1004</v>
      </c>
      <c r="F391" s="265" t="s">
        <v>1005</v>
      </c>
      <c r="G391" s="265" t="s">
        <v>1006</v>
      </c>
      <c r="H391" s="265" t="s">
        <v>1007</v>
      </c>
      <c r="I391" s="265" t="s">
        <v>1008</v>
      </c>
      <c r="J391" s="265" t="s">
        <v>1009</v>
      </c>
    </row>
    <row r="392" spans="2:10">
      <c r="B392" s="266"/>
      <c r="C392" s="267"/>
      <c r="D392" s="267"/>
      <c r="E392" s="268"/>
      <c r="F392" s="268"/>
      <c r="G392" s="268"/>
      <c r="H392" s="268"/>
      <c r="I392" s="268"/>
      <c r="J392" s="271"/>
    </row>
    <row r="393" spans="2:10">
      <c r="B393" s="266"/>
      <c r="C393" s="267"/>
      <c r="D393" s="267"/>
      <c r="E393" s="268"/>
      <c r="F393" s="268"/>
      <c r="G393" s="268"/>
      <c r="H393" s="268"/>
      <c r="I393" s="268"/>
      <c r="J393" s="271"/>
    </row>
    <row r="394" spans="2:10">
      <c r="B394" s="266"/>
      <c r="C394" s="267"/>
      <c r="D394" s="267"/>
      <c r="E394" s="268"/>
      <c r="F394" s="268"/>
      <c r="G394" s="268"/>
      <c r="H394" s="268"/>
      <c r="I394" s="268"/>
      <c r="J394" s="271"/>
    </row>
    <row r="395" spans="2:10">
      <c r="B395" s="266"/>
      <c r="C395" s="267"/>
      <c r="D395" s="267"/>
      <c r="E395" s="268"/>
      <c r="F395" s="268"/>
      <c r="G395" s="268"/>
      <c r="H395" s="268"/>
      <c r="I395" s="268"/>
      <c r="J395" s="271"/>
    </row>
    <row r="396" spans="2:10">
      <c r="B396" s="266"/>
      <c r="C396" s="266"/>
      <c r="D396" s="267"/>
      <c r="E396" s="267"/>
      <c r="F396" s="268"/>
      <c r="G396" s="268"/>
      <c r="H396" s="268"/>
      <c r="I396" s="268"/>
      <c r="J396" s="271"/>
    </row>
    <row r="397" spans="2:10">
      <c r="B397" s="686" t="s">
        <v>1011</v>
      </c>
      <c r="C397" s="687"/>
      <c r="D397" s="687"/>
      <c r="E397" s="687"/>
      <c r="F397" s="687"/>
      <c r="G397" s="687"/>
      <c r="H397" s="687"/>
      <c r="I397" s="688"/>
      <c r="J397" s="270">
        <f>ROUND(SUM(J392:J396),2)</f>
        <v>0</v>
      </c>
    </row>
    <row r="398" spans="2:10">
      <c r="B398" s="262"/>
      <c r="C398" s="262"/>
      <c r="D398" s="262"/>
      <c r="E398" s="262"/>
      <c r="F398" s="262"/>
      <c r="G398" s="262"/>
      <c r="H398" s="262"/>
      <c r="I398" s="262"/>
      <c r="J398" s="262"/>
    </row>
    <row r="399" spans="2:10">
      <c r="B399" s="691" t="s">
        <v>1014</v>
      </c>
      <c r="C399" s="691"/>
      <c r="D399" s="691"/>
      <c r="E399" s="691"/>
      <c r="F399" s="691"/>
      <c r="G399" s="691"/>
      <c r="H399" s="262"/>
      <c r="I399" s="262"/>
      <c r="J399" s="262"/>
    </row>
    <row r="400" spans="2:10">
      <c r="B400" s="692" t="s">
        <v>1015</v>
      </c>
      <c r="C400" s="693"/>
      <c r="D400" s="693"/>
      <c r="E400" s="694"/>
      <c r="F400" s="265" t="s">
        <v>1016</v>
      </c>
      <c r="G400" s="265" t="s">
        <v>1017</v>
      </c>
      <c r="H400" s="262"/>
      <c r="I400" s="262"/>
      <c r="J400" s="262"/>
    </row>
    <row r="401" spans="2:10">
      <c r="B401" s="678" t="s">
        <v>1018</v>
      </c>
      <c r="C401" s="679"/>
      <c r="D401" s="679"/>
      <c r="E401" s="680"/>
      <c r="F401" s="681">
        <f>$J$10</f>
        <v>0.91500000000000004</v>
      </c>
      <c r="G401" s="272">
        <f>J370</f>
        <v>7.67</v>
      </c>
      <c r="H401" s="262"/>
      <c r="I401" s="262"/>
      <c r="J401" s="262"/>
    </row>
    <row r="402" spans="2:10">
      <c r="B402" s="678" t="s">
        <v>1019</v>
      </c>
      <c r="C402" s="679"/>
      <c r="D402" s="679"/>
      <c r="E402" s="680"/>
      <c r="F402" s="695"/>
      <c r="G402" s="272">
        <f>J389</f>
        <v>52.81</v>
      </c>
      <c r="H402" s="262"/>
      <c r="I402" s="262"/>
      <c r="J402" s="262"/>
    </row>
    <row r="403" spans="2:10">
      <c r="B403" s="678" t="s">
        <v>1020</v>
      </c>
      <c r="C403" s="679"/>
      <c r="D403" s="679"/>
      <c r="E403" s="680"/>
      <c r="F403" s="695"/>
      <c r="G403" s="272">
        <f>J397</f>
        <v>0</v>
      </c>
      <c r="H403" s="262"/>
      <c r="I403" s="262"/>
      <c r="J403" s="262"/>
    </row>
    <row r="404" spans="2:10">
      <c r="B404" s="678" t="s">
        <v>1021</v>
      </c>
      <c r="C404" s="679"/>
      <c r="D404" s="679"/>
      <c r="E404" s="680"/>
      <c r="F404" s="695"/>
      <c r="G404" s="272">
        <v>1</v>
      </c>
      <c r="H404" s="262"/>
      <c r="I404" s="262"/>
      <c r="J404" s="262"/>
    </row>
    <row r="405" spans="2:10">
      <c r="B405" s="678" t="s">
        <v>1022</v>
      </c>
      <c r="C405" s="679"/>
      <c r="D405" s="679"/>
      <c r="E405" s="680"/>
      <c r="F405" s="695"/>
      <c r="G405" s="272">
        <f>G401+G403</f>
        <v>7.67</v>
      </c>
      <c r="H405" s="262"/>
      <c r="I405" s="262"/>
      <c r="J405" s="262"/>
    </row>
    <row r="406" spans="2:10">
      <c r="B406" s="678" t="s">
        <v>1023</v>
      </c>
      <c r="C406" s="679"/>
      <c r="D406" s="679"/>
      <c r="E406" s="680"/>
      <c r="F406" s="695"/>
      <c r="G406" s="272">
        <f>G405/G404</f>
        <v>7.67</v>
      </c>
      <c r="H406" s="262"/>
      <c r="I406" s="262"/>
      <c r="J406" s="262"/>
    </row>
    <row r="407" spans="2:10">
      <c r="B407" s="678" t="s">
        <v>1024</v>
      </c>
      <c r="C407" s="679"/>
      <c r="D407" s="679"/>
      <c r="E407" s="680"/>
      <c r="F407" s="682"/>
      <c r="G407" s="272">
        <f>G402+G406</f>
        <v>60.480000000000004</v>
      </c>
      <c r="H407" s="262"/>
      <c r="I407" s="262"/>
      <c r="J407" s="262"/>
    </row>
    <row r="408" spans="2:10">
      <c r="B408" s="678" t="s">
        <v>1025</v>
      </c>
      <c r="C408" s="679"/>
      <c r="D408" s="679"/>
      <c r="E408" s="680"/>
      <c r="F408" s="681">
        <f>$J$11</f>
        <v>0.28220000000000001</v>
      </c>
      <c r="G408" s="272">
        <f>G407*F408</f>
        <v>17.067456</v>
      </c>
      <c r="H408" s="262"/>
      <c r="I408" s="262"/>
      <c r="J408" s="262"/>
    </row>
    <row r="409" spans="2:10">
      <c r="B409" s="683" t="s">
        <v>1026</v>
      </c>
      <c r="C409" s="684"/>
      <c r="D409" s="684"/>
      <c r="E409" s="685"/>
      <c r="F409" s="682"/>
      <c r="G409" s="273">
        <f>ROUND(SUM(G407+G408),2)</f>
        <v>77.55</v>
      </c>
      <c r="H409" s="262"/>
      <c r="I409" s="262"/>
      <c r="J409" s="307"/>
    </row>
    <row r="410" spans="2:10" ht="15.75" thickBot="1"/>
    <row r="411" spans="2:10" ht="15.75" thickBot="1">
      <c r="B411" s="696" t="s">
        <v>990</v>
      </c>
      <c r="C411" s="697"/>
      <c r="D411" s="697"/>
      <c r="E411" s="697"/>
      <c r="F411" s="697"/>
      <c r="G411" s="697"/>
      <c r="H411" s="697"/>
      <c r="I411" s="697"/>
      <c r="J411" s="698"/>
    </row>
    <row r="412" spans="2:10">
      <c r="B412" s="699" t="s">
        <v>1713</v>
      </c>
      <c r="C412" s="699"/>
      <c r="D412" s="699"/>
      <c r="E412" s="699"/>
      <c r="F412" s="699"/>
      <c r="G412" s="699"/>
      <c r="H412" s="699"/>
      <c r="I412" s="699"/>
      <c r="J412" s="699"/>
    </row>
    <row r="413" spans="2:10" ht="15.75" thickBot="1">
      <c r="B413" s="699" t="s">
        <v>8</v>
      </c>
      <c r="C413" s="699"/>
      <c r="D413" s="699"/>
      <c r="E413" s="699"/>
      <c r="F413" s="699"/>
      <c r="G413" s="699"/>
      <c r="H413" s="699"/>
      <c r="I413" s="699"/>
      <c r="J413" s="699"/>
    </row>
    <row r="414" spans="2:10">
      <c r="B414" s="700" t="s">
        <v>991</v>
      </c>
      <c r="C414" s="249" t="s">
        <v>992</v>
      </c>
      <c r="D414" s="250">
        <v>6</v>
      </c>
      <c r="E414" s="251" t="s">
        <v>993</v>
      </c>
      <c r="F414" s="252">
        <v>2017</v>
      </c>
      <c r="G414" s="253"/>
      <c r="H414" s="253"/>
      <c r="I414" s="251" t="s">
        <v>994</v>
      </c>
      <c r="J414" s="306" t="s">
        <v>1714</v>
      </c>
    </row>
    <row r="415" spans="2:10">
      <c r="B415" s="701"/>
      <c r="C415" s="255" t="s">
        <v>995</v>
      </c>
      <c r="D415" s="703" t="s">
        <v>1059</v>
      </c>
      <c r="E415" s="704"/>
      <c r="F415" s="256"/>
      <c r="G415" s="256"/>
      <c r="H415" s="256"/>
      <c r="I415" s="256"/>
      <c r="J415" s="257"/>
    </row>
    <row r="416" spans="2:10" ht="33" customHeight="1">
      <c r="B416" s="701"/>
      <c r="C416" s="255" t="s">
        <v>997</v>
      </c>
      <c r="D416" s="705" t="s">
        <v>1577</v>
      </c>
      <c r="E416" s="705"/>
      <c r="F416" s="705"/>
      <c r="G416" s="705"/>
      <c r="H416" s="705"/>
      <c r="I416" s="705"/>
      <c r="J416" s="706"/>
    </row>
    <row r="417" spans="2:10" ht="15.75" thickBot="1">
      <c r="B417" s="702"/>
      <c r="C417" s="258" t="s">
        <v>999</v>
      </c>
      <c r="D417" s="308" t="s">
        <v>801</v>
      </c>
      <c r="E417" s="260"/>
      <c r="F417" s="260"/>
      <c r="G417" s="260"/>
      <c r="H417" s="260"/>
      <c r="I417" s="260"/>
      <c r="J417" s="261"/>
    </row>
    <row r="418" spans="2:10">
      <c r="B418" s="262"/>
      <c r="C418" s="262"/>
      <c r="D418" s="262"/>
      <c r="E418" s="262"/>
      <c r="F418" s="262"/>
      <c r="G418" s="262"/>
      <c r="H418" s="262"/>
      <c r="I418" s="262"/>
      <c r="J418" s="262"/>
    </row>
    <row r="419" spans="2:10" ht="30">
      <c r="B419" s="263" t="s">
        <v>1001</v>
      </c>
      <c r="C419" s="264" t="s">
        <v>1002</v>
      </c>
      <c r="D419" s="264" t="s">
        <v>1003</v>
      </c>
      <c r="E419" s="265" t="s">
        <v>1004</v>
      </c>
      <c r="F419" s="265" t="s">
        <v>1005</v>
      </c>
      <c r="G419" s="265" t="s">
        <v>1006</v>
      </c>
      <c r="H419" s="265" t="s">
        <v>1007</v>
      </c>
      <c r="I419" s="265" t="s">
        <v>1008</v>
      </c>
      <c r="J419" s="265" t="s">
        <v>1009</v>
      </c>
    </row>
    <row r="420" spans="2:10">
      <c r="B420" s="295" t="s">
        <v>927</v>
      </c>
      <c r="C420" s="296" t="s">
        <v>897</v>
      </c>
      <c r="D420" s="267">
        <v>88247</v>
      </c>
      <c r="E420" s="268">
        <v>1</v>
      </c>
      <c r="F420" s="268"/>
      <c r="G420" s="541">
        <v>8.9295039164490859</v>
      </c>
      <c r="H420" s="268">
        <v>0</v>
      </c>
      <c r="I420" s="310">
        <f>G420</f>
        <v>8.9295039164490859</v>
      </c>
      <c r="J420" s="269">
        <f>I420*E420</f>
        <v>8.9295039164490859</v>
      </c>
    </row>
    <row r="421" spans="2:10">
      <c r="B421" s="295" t="s">
        <v>928</v>
      </c>
      <c r="C421" s="267" t="s">
        <v>897</v>
      </c>
      <c r="D421" s="267">
        <v>88264</v>
      </c>
      <c r="E421" s="268">
        <v>1</v>
      </c>
      <c r="F421" s="268"/>
      <c r="G421" s="541">
        <v>11.091383812010443</v>
      </c>
      <c r="H421" s="268">
        <v>0</v>
      </c>
      <c r="I421" s="268">
        <f>ROUND(G421*(1+$J$10),2)</f>
        <v>21.24</v>
      </c>
      <c r="J421" s="269">
        <f>I421*E421</f>
        <v>21.24</v>
      </c>
    </row>
    <row r="422" spans="2:10">
      <c r="B422" s="266"/>
      <c r="C422" s="267"/>
      <c r="D422" s="267"/>
      <c r="E422" s="268"/>
      <c r="F422" s="268"/>
      <c r="G422" s="268"/>
      <c r="H422" s="268">
        <v>0</v>
      </c>
      <c r="I422" s="268">
        <f>ROUND(G422*(1+$J$10),2)</f>
        <v>0</v>
      </c>
      <c r="J422" s="269">
        <f>I422*E422</f>
        <v>0</v>
      </c>
    </row>
    <row r="423" spans="2:10">
      <c r="B423" s="266"/>
      <c r="C423" s="267"/>
      <c r="D423" s="267"/>
      <c r="E423" s="268"/>
      <c r="F423" s="268"/>
      <c r="G423" s="268"/>
      <c r="H423" s="268"/>
      <c r="I423" s="268"/>
      <c r="J423" s="269"/>
    </row>
    <row r="424" spans="2:10">
      <c r="B424" s="266"/>
      <c r="C424" s="267"/>
      <c r="D424" s="267"/>
      <c r="E424" s="268"/>
      <c r="F424" s="268"/>
      <c r="G424" s="268"/>
      <c r="H424" s="268"/>
      <c r="I424" s="268"/>
      <c r="J424" s="269"/>
    </row>
    <row r="425" spans="2:10">
      <c r="B425" s="266"/>
      <c r="C425" s="266"/>
      <c r="D425" s="267"/>
      <c r="E425" s="267"/>
      <c r="F425" s="268"/>
      <c r="G425" s="268"/>
      <c r="H425" s="268"/>
      <c r="I425" s="268"/>
      <c r="J425" s="269"/>
    </row>
    <row r="426" spans="2:10">
      <c r="B426" s="686" t="s">
        <v>1011</v>
      </c>
      <c r="C426" s="687"/>
      <c r="D426" s="687"/>
      <c r="E426" s="687"/>
      <c r="F426" s="687"/>
      <c r="G426" s="687"/>
      <c r="H426" s="687"/>
      <c r="I426" s="688"/>
      <c r="J426" s="270">
        <f>ROUND(SUM(J420:J425),2)</f>
        <v>30.17</v>
      </c>
    </row>
    <row r="427" spans="2:10">
      <c r="B427" s="689"/>
      <c r="C427" s="689"/>
      <c r="D427" s="689"/>
      <c r="E427" s="689"/>
      <c r="F427" s="689"/>
      <c r="G427" s="689"/>
      <c r="H427" s="689"/>
      <c r="I427" s="689"/>
      <c r="J427" s="689"/>
    </row>
    <row r="428" spans="2:10" ht="30">
      <c r="B428" s="263" t="s">
        <v>1012</v>
      </c>
      <c r="C428" s="264" t="s">
        <v>1002</v>
      </c>
      <c r="D428" s="264" t="s">
        <v>1072</v>
      </c>
      <c r="E428" s="265" t="s">
        <v>1004</v>
      </c>
      <c r="F428" s="265" t="s">
        <v>1005</v>
      </c>
      <c r="G428" s="265" t="s">
        <v>1006</v>
      </c>
      <c r="H428" s="265" t="s">
        <v>1007</v>
      </c>
      <c r="I428" s="265" t="s">
        <v>1008</v>
      </c>
      <c r="J428" s="265" t="s">
        <v>1009</v>
      </c>
    </row>
    <row r="429" spans="2:10" ht="30">
      <c r="B429" s="295" t="s">
        <v>1962</v>
      </c>
      <c r="C429" s="296" t="s">
        <v>801</v>
      </c>
      <c r="D429" s="267"/>
      <c r="E429" s="268">
        <v>1</v>
      </c>
      <c r="F429" s="268">
        <v>1</v>
      </c>
      <c r="G429" s="309">
        <v>335.09</v>
      </c>
      <c r="H429" s="268">
        <v>0</v>
      </c>
      <c r="I429" s="268">
        <f>G429</f>
        <v>335.09</v>
      </c>
      <c r="J429" s="269">
        <f>I429*E429</f>
        <v>335.09</v>
      </c>
    </row>
    <row r="430" spans="2:10">
      <c r="B430" s="295"/>
      <c r="C430" s="296"/>
      <c r="D430" s="267"/>
      <c r="E430" s="268"/>
      <c r="F430" s="268"/>
      <c r="G430" s="268"/>
      <c r="H430" s="268">
        <v>0</v>
      </c>
      <c r="I430" s="268">
        <f>G430</f>
        <v>0</v>
      </c>
      <c r="J430" s="269">
        <f>I430*E430</f>
        <v>0</v>
      </c>
    </row>
    <row r="431" spans="2:10">
      <c r="B431" s="295"/>
      <c r="C431" s="296"/>
      <c r="D431" s="267"/>
      <c r="E431" s="268"/>
      <c r="F431" s="268"/>
      <c r="G431" s="268"/>
      <c r="H431" s="268"/>
      <c r="I431" s="268"/>
      <c r="J431" s="269"/>
    </row>
    <row r="432" spans="2:10">
      <c r="B432" s="295"/>
      <c r="C432" s="296"/>
      <c r="D432" s="296"/>
      <c r="E432" s="268"/>
      <c r="F432" s="268"/>
      <c r="G432" s="268"/>
      <c r="H432" s="268"/>
      <c r="I432" s="268"/>
      <c r="J432" s="269"/>
    </row>
    <row r="433" spans="2:10">
      <c r="B433" s="295"/>
      <c r="C433" s="266"/>
      <c r="D433" s="267"/>
      <c r="E433" s="267"/>
      <c r="F433" s="268"/>
      <c r="G433" s="268"/>
      <c r="H433" s="268"/>
      <c r="I433" s="268"/>
      <c r="J433" s="269"/>
    </row>
    <row r="434" spans="2:10">
      <c r="B434" s="266"/>
      <c r="C434" s="266"/>
      <c r="D434" s="267"/>
      <c r="E434" s="267"/>
      <c r="F434" s="268"/>
      <c r="G434" s="268"/>
      <c r="H434" s="268"/>
      <c r="I434" s="268"/>
      <c r="J434" s="269"/>
    </row>
    <row r="435" spans="2:10">
      <c r="B435" s="266"/>
      <c r="C435" s="266"/>
      <c r="D435" s="267"/>
      <c r="E435" s="267"/>
      <c r="F435" s="268"/>
      <c r="G435" s="268"/>
      <c r="H435" s="268"/>
      <c r="I435" s="268"/>
      <c r="J435" s="269"/>
    </row>
    <row r="436" spans="2:10">
      <c r="B436" s="266"/>
      <c r="C436" s="266"/>
      <c r="D436" s="267"/>
      <c r="E436" s="267"/>
      <c r="F436" s="268"/>
      <c r="G436" s="268"/>
      <c r="H436" s="268"/>
      <c r="I436" s="268"/>
      <c r="J436" s="269"/>
    </row>
    <row r="437" spans="2:10">
      <c r="B437" s="266"/>
      <c r="C437" s="266"/>
      <c r="D437" s="267"/>
      <c r="E437" s="267"/>
      <c r="F437" s="268"/>
      <c r="G437" s="268"/>
      <c r="H437" s="268"/>
      <c r="I437" s="268"/>
      <c r="J437" s="269"/>
    </row>
    <row r="438" spans="2:10">
      <c r="B438" s="266"/>
      <c r="C438" s="266"/>
      <c r="D438" s="267"/>
      <c r="E438" s="267"/>
      <c r="F438" s="268"/>
      <c r="G438" s="268"/>
      <c r="H438" s="268"/>
      <c r="I438" s="268"/>
      <c r="J438" s="269"/>
    </row>
    <row r="439" spans="2:10">
      <c r="B439" s="266"/>
      <c r="C439" s="266"/>
      <c r="D439" s="267"/>
      <c r="E439" s="267"/>
      <c r="F439" s="268"/>
      <c r="G439" s="268"/>
      <c r="H439" s="268"/>
      <c r="I439" s="268"/>
      <c r="J439" s="269"/>
    </row>
    <row r="440" spans="2:10">
      <c r="B440" s="266"/>
      <c r="C440" s="266"/>
      <c r="D440" s="267"/>
      <c r="E440" s="267"/>
      <c r="F440" s="268"/>
      <c r="G440" s="268"/>
      <c r="H440" s="268"/>
      <c r="I440" s="268"/>
      <c r="J440" s="269"/>
    </row>
    <row r="441" spans="2:10">
      <c r="B441" s="266"/>
      <c r="C441" s="266"/>
      <c r="D441" s="267"/>
      <c r="E441" s="267"/>
      <c r="F441" s="268"/>
      <c r="G441" s="268"/>
      <c r="H441" s="268"/>
      <c r="I441" s="268"/>
      <c r="J441" s="269"/>
    </row>
    <row r="442" spans="2:10">
      <c r="B442" s="266"/>
      <c r="C442" s="266"/>
      <c r="D442" s="267"/>
      <c r="E442" s="267"/>
      <c r="F442" s="268"/>
      <c r="G442" s="268"/>
      <c r="H442" s="268"/>
      <c r="I442" s="268"/>
      <c r="J442" s="269"/>
    </row>
    <row r="443" spans="2:10">
      <c r="B443" s="266"/>
      <c r="C443" s="266"/>
      <c r="D443" s="267"/>
      <c r="E443" s="267"/>
      <c r="F443" s="268"/>
      <c r="G443" s="268"/>
      <c r="H443" s="268"/>
      <c r="I443" s="268"/>
      <c r="J443" s="269"/>
    </row>
    <row r="444" spans="2:10">
      <c r="B444" s="686" t="s">
        <v>1011</v>
      </c>
      <c r="C444" s="687"/>
      <c r="D444" s="687"/>
      <c r="E444" s="687"/>
      <c r="F444" s="687"/>
      <c r="G444" s="687"/>
      <c r="H444" s="687"/>
      <c r="I444" s="688"/>
      <c r="J444" s="270">
        <f>ROUND(SUM(J429:J443),2)</f>
        <v>335.09</v>
      </c>
    </row>
    <row r="445" spans="2:10">
      <c r="B445" s="690"/>
      <c r="C445" s="690"/>
      <c r="D445" s="690"/>
      <c r="E445" s="690"/>
      <c r="F445" s="690"/>
      <c r="G445" s="690"/>
      <c r="H445" s="690"/>
      <c r="I445" s="690"/>
      <c r="J445" s="690"/>
    </row>
    <row r="446" spans="2:10" ht="30">
      <c r="B446" s="263" t="s">
        <v>1013</v>
      </c>
      <c r="C446" s="264" t="s">
        <v>1002</v>
      </c>
      <c r="D446" s="264" t="s">
        <v>1003</v>
      </c>
      <c r="E446" s="265" t="s">
        <v>1004</v>
      </c>
      <c r="F446" s="265" t="s">
        <v>1005</v>
      </c>
      <c r="G446" s="265" t="s">
        <v>1006</v>
      </c>
      <c r="H446" s="265" t="s">
        <v>1007</v>
      </c>
      <c r="I446" s="265" t="s">
        <v>1008</v>
      </c>
      <c r="J446" s="265" t="s">
        <v>1009</v>
      </c>
    </row>
    <row r="447" spans="2:10">
      <c r="B447" s="266"/>
      <c r="C447" s="267"/>
      <c r="D447" s="267"/>
      <c r="E447" s="268"/>
      <c r="F447" s="268"/>
      <c r="G447" s="268"/>
      <c r="H447" s="268"/>
      <c r="I447" s="268"/>
      <c r="J447" s="271"/>
    </row>
    <row r="448" spans="2:10">
      <c r="B448" s="266"/>
      <c r="C448" s="267"/>
      <c r="D448" s="267"/>
      <c r="E448" s="268"/>
      <c r="F448" s="268"/>
      <c r="G448" s="268"/>
      <c r="H448" s="268"/>
      <c r="I448" s="268"/>
      <c r="J448" s="271"/>
    </row>
    <row r="449" spans="2:10">
      <c r="B449" s="266"/>
      <c r="C449" s="267"/>
      <c r="D449" s="267"/>
      <c r="E449" s="268"/>
      <c r="F449" s="268"/>
      <c r="G449" s="268"/>
      <c r="H449" s="268"/>
      <c r="I449" s="268"/>
      <c r="J449" s="271"/>
    </row>
    <row r="450" spans="2:10">
      <c r="B450" s="266"/>
      <c r="C450" s="267"/>
      <c r="D450" s="267"/>
      <c r="E450" s="268"/>
      <c r="F450" s="268"/>
      <c r="G450" s="268"/>
      <c r="H450" s="268"/>
      <c r="I450" s="268"/>
      <c r="J450" s="271"/>
    </row>
    <row r="451" spans="2:10">
      <c r="B451" s="266"/>
      <c r="C451" s="266"/>
      <c r="D451" s="267"/>
      <c r="E451" s="267"/>
      <c r="F451" s="268"/>
      <c r="G451" s="268"/>
      <c r="H451" s="268"/>
      <c r="I451" s="268"/>
      <c r="J451" s="271"/>
    </row>
    <row r="452" spans="2:10">
      <c r="B452" s="686" t="s">
        <v>1011</v>
      </c>
      <c r="C452" s="687"/>
      <c r="D452" s="687"/>
      <c r="E452" s="687"/>
      <c r="F452" s="687"/>
      <c r="G452" s="687"/>
      <c r="H452" s="687"/>
      <c r="I452" s="688"/>
      <c r="J452" s="270">
        <f>ROUND(SUM(J447:J451),2)</f>
        <v>0</v>
      </c>
    </row>
    <row r="453" spans="2:10">
      <c r="B453" s="262"/>
      <c r="C453" s="262"/>
      <c r="D453" s="262"/>
      <c r="E453" s="262"/>
      <c r="F453" s="262"/>
      <c r="G453" s="262"/>
      <c r="H453" s="262"/>
      <c r="I453" s="262"/>
      <c r="J453" s="262"/>
    </row>
    <row r="454" spans="2:10">
      <c r="B454" s="691" t="s">
        <v>1014</v>
      </c>
      <c r="C454" s="691"/>
      <c r="D454" s="691"/>
      <c r="E454" s="691"/>
      <c r="F454" s="691"/>
      <c r="G454" s="691"/>
      <c r="H454" s="262"/>
      <c r="I454" s="262"/>
      <c r="J454" s="262"/>
    </row>
    <row r="455" spans="2:10">
      <c r="B455" s="692" t="s">
        <v>1015</v>
      </c>
      <c r="C455" s="693"/>
      <c r="D455" s="693"/>
      <c r="E455" s="694"/>
      <c r="F455" s="265" t="s">
        <v>1016</v>
      </c>
      <c r="G455" s="265" t="s">
        <v>1017</v>
      </c>
      <c r="H455" s="262"/>
      <c r="I455" s="262"/>
      <c r="J455" s="262"/>
    </row>
    <row r="456" spans="2:10">
      <c r="B456" s="678" t="s">
        <v>1018</v>
      </c>
      <c r="C456" s="679"/>
      <c r="D456" s="679"/>
      <c r="E456" s="680"/>
      <c r="F456" s="681">
        <f>$J$10</f>
        <v>0.91500000000000004</v>
      </c>
      <c r="G456" s="272">
        <f>J426</f>
        <v>30.17</v>
      </c>
      <c r="H456" s="262"/>
      <c r="I456" s="262"/>
      <c r="J456" s="262"/>
    </row>
    <row r="457" spans="2:10">
      <c r="B457" s="678" t="s">
        <v>1019</v>
      </c>
      <c r="C457" s="679"/>
      <c r="D457" s="679"/>
      <c r="E457" s="680"/>
      <c r="F457" s="695"/>
      <c r="G457" s="272">
        <f>J444</f>
        <v>335.09</v>
      </c>
      <c r="H457" s="262"/>
      <c r="I457" s="262"/>
      <c r="J457" s="262"/>
    </row>
    <row r="458" spans="2:10">
      <c r="B458" s="678" t="s">
        <v>1020</v>
      </c>
      <c r="C458" s="679"/>
      <c r="D458" s="679"/>
      <c r="E458" s="680"/>
      <c r="F458" s="695"/>
      <c r="G458" s="272">
        <f>J452</f>
        <v>0</v>
      </c>
      <c r="H458" s="262"/>
      <c r="I458" s="262"/>
      <c r="J458" s="262"/>
    </row>
    <row r="459" spans="2:10">
      <c r="B459" s="678" t="s">
        <v>1021</v>
      </c>
      <c r="C459" s="679"/>
      <c r="D459" s="679"/>
      <c r="E459" s="680"/>
      <c r="F459" s="695"/>
      <c r="G459" s="272">
        <v>1</v>
      </c>
      <c r="H459" s="262"/>
      <c r="I459" s="262"/>
      <c r="J459" s="262"/>
    </row>
    <row r="460" spans="2:10">
      <c r="B460" s="678" t="s">
        <v>1022</v>
      </c>
      <c r="C460" s="679"/>
      <c r="D460" s="679"/>
      <c r="E460" s="680"/>
      <c r="F460" s="695"/>
      <c r="G460" s="272">
        <f>G456+G458</f>
        <v>30.17</v>
      </c>
      <c r="H460" s="262"/>
      <c r="I460" s="262"/>
      <c r="J460" s="262"/>
    </row>
    <row r="461" spans="2:10">
      <c r="B461" s="678" t="s">
        <v>1023</v>
      </c>
      <c r="C461" s="679"/>
      <c r="D461" s="679"/>
      <c r="E461" s="680"/>
      <c r="F461" s="695"/>
      <c r="G461" s="272">
        <f>G460/G459</f>
        <v>30.17</v>
      </c>
      <c r="H461" s="262"/>
      <c r="I461" s="262"/>
      <c r="J461" s="262"/>
    </row>
    <row r="462" spans="2:10">
      <c r="B462" s="678" t="s">
        <v>1024</v>
      </c>
      <c r="C462" s="679"/>
      <c r="D462" s="679"/>
      <c r="E462" s="680"/>
      <c r="F462" s="682"/>
      <c r="G462" s="272">
        <f>G457+G461</f>
        <v>365.26</v>
      </c>
      <c r="H462" s="262"/>
      <c r="I462" s="262"/>
      <c r="J462" s="262"/>
    </row>
    <row r="463" spans="2:10">
      <c r="B463" s="678" t="s">
        <v>1025</v>
      </c>
      <c r="C463" s="679"/>
      <c r="D463" s="679"/>
      <c r="E463" s="680"/>
      <c r="F463" s="681">
        <f>$J$11</f>
        <v>0.28220000000000001</v>
      </c>
      <c r="G463" s="272">
        <f>G462*F463</f>
        <v>103.07637200000001</v>
      </c>
      <c r="H463" s="262"/>
      <c r="I463" s="262"/>
      <c r="J463" s="262"/>
    </row>
    <row r="464" spans="2:10">
      <c r="B464" s="683" t="s">
        <v>1026</v>
      </c>
      <c r="C464" s="684"/>
      <c r="D464" s="684"/>
      <c r="E464" s="685"/>
      <c r="F464" s="682"/>
      <c r="G464" s="273">
        <f>ROUND(SUM(G462+G463),2)</f>
        <v>468.34</v>
      </c>
      <c r="H464" s="262"/>
      <c r="I464" s="262"/>
      <c r="J464" s="307"/>
    </row>
    <row r="465" spans="2:10" ht="15.75" thickBot="1"/>
    <row r="466" spans="2:10" ht="15.75" thickBot="1">
      <c r="B466" s="696" t="s">
        <v>990</v>
      </c>
      <c r="C466" s="697"/>
      <c r="D466" s="697"/>
      <c r="E466" s="697"/>
      <c r="F466" s="697"/>
      <c r="G466" s="697"/>
      <c r="H466" s="697"/>
      <c r="I466" s="697"/>
      <c r="J466" s="698"/>
    </row>
    <row r="467" spans="2:10">
      <c r="B467" s="699" t="s">
        <v>1713</v>
      </c>
      <c r="C467" s="699"/>
      <c r="D467" s="699"/>
      <c r="E467" s="699"/>
      <c r="F467" s="699"/>
      <c r="G467" s="699"/>
      <c r="H467" s="699"/>
      <c r="I467" s="699"/>
      <c r="J467" s="699"/>
    </row>
    <row r="468" spans="2:10" ht="15.75" thickBot="1">
      <c r="B468" s="699" t="s">
        <v>8</v>
      </c>
      <c r="C468" s="699"/>
      <c r="D468" s="699"/>
      <c r="E468" s="699"/>
      <c r="F468" s="699"/>
      <c r="G468" s="699"/>
      <c r="H468" s="699"/>
      <c r="I468" s="699"/>
      <c r="J468" s="699"/>
    </row>
    <row r="469" spans="2:10">
      <c r="B469" s="700" t="s">
        <v>991</v>
      </c>
      <c r="C469" s="249" t="s">
        <v>992</v>
      </c>
      <c r="D469" s="250">
        <v>6</v>
      </c>
      <c r="E469" s="251" t="s">
        <v>993</v>
      </c>
      <c r="F469" s="252">
        <v>2017</v>
      </c>
      <c r="G469" s="253"/>
      <c r="H469" s="253"/>
      <c r="I469" s="251" t="s">
        <v>994</v>
      </c>
      <c r="J469" s="306" t="s">
        <v>1714</v>
      </c>
    </row>
    <row r="470" spans="2:10">
      <c r="B470" s="701"/>
      <c r="C470" s="255" t="s">
        <v>995</v>
      </c>
      <c r="D470" s="710" t="s">
        <v>1961</v>
      </c>
      <c r="E470" s="710"/>
      <c r="F470" s="710"/>
      <c r="G470" s="256"/>
      <c r="H470" s="256"/>
      <c r="I470" s="256"/>
      <c r="J470" s="257"/>
    </row>
    <row r="471" spans="2:10" ht="15.75">
      <c r="B471" s="701"/>
      <c r="C471" s="255" t="s">
        <v>997</v>
      </c>
      <c r="D471" s="705" t="s">
        <v>1960</v>
      </c>
      <c r="E471" s="705"/>
      <c r="F471" s="705"/>
      <c r="G471" s="705"/>
      <c r="H471" s="705"/>
      <c r="I471" s="705"/>
      <c r="J471" s="706"/>
    </row>
    <row r="472" spans="2:10" ht="15.75" thickBot="1">
      <c r="B472" s="702"/>
      <c r="C472" s="258" t="s">
        <v>999</v>
      </c>
      <c r="D472" s="308" t="s">
        <v>610</v>
      </c>
      <c r="E472" s="260"/>
      <c r="F472" s="260"/>
      <c r="G472" s="260"/>
      <c r="H472" s="260"/>
      <c r="I472" s="260"/>
      <c r="J472" s="261"/>
    </row>
    <row r="473" spans="2:10">
      <c r="B473" s="262"/>
      <c r="C473" s="262"/>
      <c r="D473" s="262"/>
      <c r="E473" s="262"/>
      <c r="F473" s="262"/>
      <c r="G473" s="262"/>
      <c r="H473" s="262"/>
      <c r="I473" s="262"/>
      <c r="J473" s="262"/>
    </row>
    <row r="474" spans="2:10" ht="30">
      <c r="B474" s="263" t="s">
        <v>1001</v>
      </c>
      <c r="C474" s="264" t="s">
        <v>1002</v>
      </c>
      <c r="D474" s="264" t="s">
        <v>1003</v>
      </c>
      <c r="E474" s="265" t="s">
        <v>1004</v>
      </c>
      <c r="F474" s="265" t="s">
        <v>1005</v>
      </c>
      <c r="G474" s="265" t="s">
        <v>1006</v>
      </c>
      <c r="H474" s="265" t="s">
        <v>1007</v>
      </c>
      <c r="I474" s="265" t="s">
        <v>1008</v>
      </c>
      <c r="J474" s="265" t="s">
        <v>1009</v>
      </c>
    </row>
    <row r="475" spans="2:10">
      <c r="B475" s="295" t="s">
        <v>1101</v>
      </c>
      <c r="C475" s="267" t="s">
        <v>897</v>
      </c>
      <c r="D475" s="267">
        <v>88309</v>
      </c>
      <c r="E475" s="268">
        <v>3.3330000000000002</v>
      </c>
      <c r="F475" s="268">
        <v>1</v>
      </c>
      <c r="G475" s="541">
        <f>(18.62/1.915)</f>
        <v>9.7232375979112273</v>
      </c>
      <c r="H475" s="268">
        <v>0</v>
      </c>
      <c r="I475" s="268">
        <f>ROUND(G475*(1+$J$10),2)</f>
        <v>18.62</v>
      </c>
      <c r="J475" s="269">
        <f>I475*E475</f>
        <v>62.060460000000006</v>
      </c>
    </row>
    <row r="476" spans="2:10">
      <c r="B476" s="295" t="s">
        <v>1102</v>
      </c>
      <c r="C476" s="267" t="s">
        <v>897</v>
      </c>
      <c r="D476" s="267">
        <v>88316</v>
      </c>
      <c r="E476" s="268">
        <v>3.3330000000000002</v>
      </c>
      <c r="F476" s="268">
        <v>1</v>
      </c>
      <c r="G476" s="268">
        <v>7.16</v>
      </c>
      <c r="H476" s="268">
        <v>0</v>
      </c>
      <c r="I476" s="268">
        <f>ROUND(G476*(1+$J$10),2)</f>
        <v>13.71</v>
      </c>
      <c r="J476" s="269">
        <f>I476*E476</f>
        <v>45.695430000000009</v>
      </c>
    </row>
    <row r="477" spans="2:10">
      <c r="B477" s="266"/>
      <c r="C477" s="267"/>
      <c r="D477" s="267"/>
      <c r="E477" s="268"/>
      <c r="F477" s="268"/>
      <c r="G477" s="268"/>
      <c r="H477" s="268"/>
      <c r="I477" s="268"/>
      <c r="J477" s="269"/>
    </row>
    <row r="478" spans="2:10">
      <c r="B478" s="266"/>
      <c r="C478" s="267"/>
      <c r="D478" s="267"/>
      <c r="E478" s="268"/>
      <c r="F478" s="268"/>
      <c r="G478" s="268"/>
      <c r="H478" s="268"/>
      <c r="I478" s="268"/>
      <c r="J478" s="269"/>
    </row>
    <row r="479" spans="2:10">
      <c r="B479" s="266"/>
      <c r="C479" s="267"/>
      <c r="D479" s="267"/>
      <c r="E479" s="268"/>
      <c r="F479" s="268"/>
      <c r="G479" s="268"/>
      <c r="H479" s="268"/>
      <c r="I479" s="268"/>
      <c r="J479" s="269"/>
    </row>
    <row r="480" spans="2:10">
      <c r="B480" s="266"/>
      <c r="C480" s="266"/>
      <c r="D480" s="267"/>
      <c r="E480" s="267"/>
      <c r="F480" s="268"/>
      <c r="G480" s="268"/>
      <c r="H480" s="268"/>
      <c r="I480" s="268"/>
      <c r="J480" s="269"/>
    </row>
    <row r="481" spans="2:10">
      <c r="B481" s="686" t="s">
        <v>1011</v>
      </c>
      <c r="C481" s="687"/>
      <c r="D481" s="687"/>
      <c r="E481" s="687"/>
      <c r="F481" s="687"/>
      <c r="G481" s="687"/>
      <c r="H481" s="687"/>
      <c r="I481" s="688"/>
      <c r="J481" s="270">
        <f>ROUND(SUM(J475:J480),2)</f>
        <v>107.76</v>
      </c>
    </row>
    <row r="482" spans="2:10">
      <c r="B482" s="689"/>
      <c r="C482" s="689"/>
      <c r="D482" s="689"/>
      <c r="E482" s="689"/>
      <c r="F482" s="689"/>
      <c r="G482" s="689"/>
      <c r="H482" s="689"/>
      <c r="I482" s="689"/>
      <c r="J482" s="689"/>
    </row>
    <row r="483" spans="2:10" ht="30">
      <c r="B483" s="263" t="s">
        <v>1012</v>
      </c>
      <c r="C483" s="264" t="s">
        <v>1002</v>
      </c>
      <c r="D483" s="264" t="s">
        <v>1072</v>
      </c>
      <c r="E483" s="265" t="s">
        <v>1004</v>
      </c>
      <c r="F483" s="265" t="s">
        <v>1005</v>
      </c>
      <c r="G483" s="265" t="s">
        <v>1006</v>
      </c>
      <c r="H483" s="265" t="s">
        <v>1007</v>
      </c>
      <c r="I483" s="265" t="s">
        <v>1008</v>
      </c>
      <c r="J483" s="265" t="s">
        <v>1009</v>
      </c>
    </row>
    <row r="484" spans="2:10" ht="30">
      <c r="B484" s="295" t="s">
        <v>1959</v>
      </c>
      <c r="C484" s="296" t="s">
        <v>1156</v>
      </c>
      <c r="D484" s="267">
        <v>370</v>
      </c>
      <c r="E484" s="268">
        <v>8.6999999999999994E-3</v>
      </c>
      <c r="F484" s="268">
        <v>1</v>
      </c>
      <c r="G484" s="309">
        <v>30</v>
      </c>
      <c r="H484" s="268">
        <v>0</v>
      </c>
      <c r="I484" s="268">
        <f>G484</f>
        <v>30</v>
      </c>
      <c r="J484" s="269">
        <f>I484*E484</f>
        <v>0.26100000000000001</v>
      </c>
    </row>
    <row r="485" spans="2:10">
      <c r="B485" s="295" t="s">
        <v>1958</v>
      </c>
      <c r="C485" s="296" t="s">
        <v>594</v>
      </c>
      <c r="D485" s="267">
        <v>1379</v>
      </c>
      <c r="E485" s="268">
        <v>3.78</v>
      </c>
      <c r="F485" s="268">
        <v>1</v>
      </c>
      <c r="G485" s="268">
        <v>0.39</v>
      </c>
      <c r="H485" s="268">
        <v>0</v>
      </c>
      <c r="I485" s="268">
        <f>G485</f>
        <v>0.39</v>
      </c>
      <c r="J485" s="269">
        <f>I485*E485</f>
        <v>1.4742</v>
      </c>
    </row>
    <row r="486" spans="2:10" ht="30">
      <c r="B486" s="295" t="s">
        <v>1957</v>
      </c>
      <c r="C486" s="296" t="s">
        <v>610</v>
      </c>
      <c r="D486" s="267">
        <v>32505</v>
      </c>
      <c r="E486" s="268">
        <v>1</v>
      </c>
      <c r="F486" s="268">
        <v>1</v>
      </c>
      <c r="G486" s="268">
        <v>202.17</v>
      </c>
      <c r="H486" s="268">
        <v>0</v>
      </c>
      <c r="I486" s="268">
        <f>G486</f>
        <v>202.17</v>
      </c>
      <c r="J486" s="269">
        <f>I486*E486</f>
        <v>202.17</v>
      </c>
    </row>
    <row r="487" spans="2:10">
      <c r="B487" s="295"/>
      <c r="C487" s="296"/>
      <c r="D487" s="296"/>
      <c r="E487" s="268"/>
      <c r="F487" s="268"/>
      <c r="G487" s="268"/>
      <c r="H487" s="268"/>
      <c r="I487" s="268"/>
      <c r="J487" s="269"/>
    </row>
    <row r="488" spans="2:10">
      <c r="B488" s="295"/>
      <c r="C488" s="266"/>
      <c r="D488" s="267"/>
      <c r="E488" s="267"/>
      <c r="F488" s="268"/>
      <c r="G488" s="268"/>
      <c r="H488" s="268"/>
      <c r="I488" s="268"/>
      <c r="J488" s="269"/>
    </row>
    <row r="489" spans="2:10">
      <c r="B489" s="266"/>
      <c r="C489" s="266"/>
      <c r="D489" s="267"/>
      <c r="E489" s="267"/>
      <c r="F489" s="268"/>
      <c r="G489" s="268"/>
      <c r="H489" s="268"/>
      <c r="I489" s="268"/>
      <c r="J489" s="269"/>
    </row>
    <row r="490" spans="2:10">
      <c r="B490" s="266"/>
      <c r="C490" s="266"/>
      <c r="D490" s="267"/>
      <c r="E490" s="267"/>
      <c r="F490" s="268"/>
      <c r="G490" s="268"/>
      <c r="H490" s="268"/>
      <c r="I490" s="268"/>
      <c r="J490" s="269"/>
    </row>
    <row r="491" spans="2:10">
      <c r="B491" s="266"/>
      <c r="C491" s="266"/>
      <c r="D491" s="267"/>
      <c r="E491" s="267"/>
      <c r="F491" s="268"/>
      <c r="G491" s="268"/>
      <c r="H491" s="268"/>
      <c r="I491" s="268"/>
      <c r="J491" s="269"/>
    </row>
    <row r="492" spans="2:10">
      <c r="B492" s="266"/>
      <c r="C492" s="266"/>
      <c r="D492" s="267"/>
      <c r="E492" s="267"/>
      <c r="F492" s="268"/>
      <c r="G492" s="268"/>
      <c r="H492" s="268"/>
      <c r="I492" s="268"/>
      <c r="J492" s="269"/>
    </row>
    <row r="493" spans="2:10">
      <c r="B493" s="266"/>
      <c r="C493" s="266"/>
      <c r="D493" s="267"/>
      <c r="E493" s="267"/>
      <c r="F493" s="268"/>
      <c r="G493" s="268"/>
      <c r="H493" s="268"/>
      <c r="I493" s="268"/>
      <c r="J493" s="269"/>
    </row>
    <row r="494" spans="2:10">
      <c r="B494" s="266"/>
      <c r="C494" s="266"/>
      <c r="D494" s="267"/>
      <c r="E494" s="267"/>
      <c r="F494" s="268"/>
      <c r="G494" s="268"/>
      <c r="H494" s="268"/>
      <c r="I494" s="268"/>
      <c r="J494" s="269"/>
    </row>
    <row r="495" spans="2:10">
      <c r="B495" s="266"/>
      <c r="C495" s="266"/>
      <c r="D495" s="267"/>
      <c r="E495" s="267"/>
      <c r="F495" s="268"/>
      <c r="G495" s="268"/>
      <c r="H495" s="268"/>
      <c r="I495" s="268"/>
      <c r="J495" s="269"/>
    </row>
    <row r="496" spans="2:10">
      <c r="B496" s="266"/>
      <c r="C496" s="266"/>
      <c r="D496" s="267"/>
      <c r="E496" s="267"/>
      <c r="F496" s="268"/>
      <c r="G496" s="268"/>
      <c r="H496" s="268"/>
      <c r="I496" s="268"/>
      <c r="J496" s="269"/>
    </row>
    <row r="497" spans="2:10">
      <c r="B497" s="266"/>
      <c r="C497" s="266"/>
      <c r="D497" s="267"/>
      <c r="E497" s="267"/>
      <c r="F497" s="268"/>
      <c r="G497" s="268"/>
      <c r="H497" s="268"/>
      <c r="I497" s="268"/>
      <c r="J497" s="269"/>
    </row>
    <row r="498" spans="2:10">
      <c r="B498" s="686" t="s">
        <v>1011</v>
      </c>
      <c r="C498" s="687"/>
      <c r="D498" s="687"/>
      <c r="E498" s="687"/>
      <c r="F498" s="687"/>
      <c r="G498" s="687"/>
      <c r="H498" s="687"/>
      <c r="I498" s="688"/>
      <c r="J498" s="270">
        <f>ROUND(SUM(J484:J497),2)</f>
        <v>203.91</v>
      </c>
    </row>
    <row r="499" spans="2:10">
      <c r="B499" s="690"/>
      <c r="C499" s="690"/>
      <c r="D499" s="690"/>
      <c r="E499" s="690"/>
      <c r="F499" s="690"/>
      <c r="G499" s="690"/>
      <c r="H499" s="690"/>
      <c r="I499" s="690"/>
      <c r="J499" s="690"/>
    </row>
    <row r="500" spans="2:10" ht="30">
      <c r="B500" s="263" t="s">
        <v>1013</v>
      </c>
      <c r="C500" s="264" t="s">
        <v>1002</v>
      </c>
      <c r="D500" s="264" t="s">
        <v>1003</v>
      </c>
      <c r="E500" s="265" t="s">
        <v>1004</v>
      </c>
      <c r="F500" s="265" t="s">
        <v>1005</v>
      </c>
      <c r="G500" s="265" t="s">
        <v>1006</v>
      </c>
      <c r="H500" s="265" t="s">
        <v>1007</v>
      </c>
      <c r="I500" s="265" t="s">
        <v>1008</v>
      </c>
      <c r="J500" s="265" t="s">
        <v>1009</v>
      </c>
    </row>
    <row r="501" spans="2:10">
      <c r="B501" s="266"/>
      <c r="C501" s="267"/>
      <c r="D501" s="267"/>
      <c r="E501" s="268"/>
      <c r="F501" s="268"/>
      <c r="G501" s="268"/>
      <c r="H501" s="268"/>
      <c r="I501" s="268"/>
      <c r="J501" s="271"/>
    </row>
    <row r="502" spans="2:10">
      <c r="B502" s="266"/>
      <c r="C502" s="267"/>
      <c r="D502" s="267"/>
      <c r="E502" s="268"/>
      <c r="F502" s="268"/>
      <c r="G502" s="268"/>
      <c r="H502" s="268"/>
      <c r="I502" s="268"/>
      <c r="J502" s="271"/>
    </row>
    <row r="503" spans="2:10">
      <c r="B503" s="266"/>
      <c r="C503" s="267"/>
      <c r="D503" s="267"/>
      <c r="E503" s="268"/>
      <c r="F503" s="268"/>
      <c r="G503" s="268"/>
      <c r="H503" s="268"/>
      <c r="I503" s="268"/>
      <c r="J503" s="271"/>
    </row>
    <row r="504" spans="2:10">
      <c r="B504" s="266"/>
      <c r="C504" s="267"/>
      <c r="D504" s="267"/>
      <c r="E504" s="268"/>
      <c r="F504" s="268"/>
      <c r="G504" s="268"/>
      <c r="H504" s="268"/>
      <c r="I504" s="268"/>
      <c r="J504" s="271"/>
    </row>
    <row r="505" spans="2:10">
      <c r="B505" s="266"/>
      <c r="C505" s="266"/>
      <c r="D505" s="267"/>
      <c r="E505" s="267"/>
      <c r="F505" s="268"/>
      <c r="G505" s="268"/>
      <c r="H505" s="268"/>
      <c r="I505" s="268"/>
      <c r="J505" s="271"/>
    </row>
    <row r="506" spans="2:10">
      <c r="B506" s="686" t="s">
        <v>1011</v>
      </c>
      <c r="C506" s="687"/>
      <c r="D506" s="687"/>
      <c r="E506" s="687"/>
      <c r="F506" s="687"/>
      <c r="G506" s="687"/>
      <c r="H506" s="687"/>
      <c r="I506" s="688"/>
      <c r="J506" s="270">
        <f>ROUND(SUM(J501:J505),2)</f>
        <v>0</v>
      </c>
    </row>
    <row r="507" spans="2:10">
      <c r="B507" s="262"/>
      <c r="C507" s="262"/>
      <c r="D507" s="262"/>
      <c r="E507" s="262"/>
      <c r="F507" s="262"/>
      <c r="G507" s="262"/>
      <c r="H507" s="262"/>
      <c r="I507" s="262"/>
      <c r="J507" s="262"/>
    </row>
    <row r="508" spans="2:10">
      <c r="B508" s="691" t="s">
        <v>1014</v>
      </c>
      <c r="C508" s="691"/>
      <c r="D508" s="691"/>
      <c r="E508" s="691"/>
      <c r="F508" s="691"/>
      <c r="G508" s="691"/>
      <c r="H508" s="262"/>
      <c r="I508" s="262"/>
      <c r="J508" s="262"/>
    </row>
    <row r="509" spans="2:10">
      <c r="B509" s="692" t="s">
        <v>1015</v>
      </c>
      <c r="C509" s="693"/>
      <c r="D509" s="693"/>
      <c r="E509" s="694"/>
      <c r="F509" s="265" t="s">
        <v>1016</v>
      </c>
      <c r="G509" s="265" t="s">
        <v>1017</v>
      </c>
      <c r="H509" s="262"/>
      <c r="I509" s="262"/>
      <c r="J509" s="262"/>
    </row>
    <row r="510" spans="2:10">
      <c r="B510" s="678" t="s">
        <v>1018</v>
      </c>
      <c r="C510" s="679"/>
      <c r="D510" s="679"/>
      <c r="E510" s="680"/>
      <c r="F510" s="681">
        <f>$J$10</f>
        <v>0.91500000000000004</v>
      </c>
      <c r="G510" s="272">
        <f>J481</f>
        <v>107.76</v>
      </c>
      <c r="H510" s="262"/>
      <c r="I510" s="262"/>
      <c r="J510" s="262"/>
    </row>
    <row r="511" spans="2:10">
      <c r="B511" s="678" t="s">
        <v>1019</v>
      </c>
      <c r="C511" s="679"/>
      <c r="D511" s="679"/>
      <c r="E511" s="680"/>
      <c r="F511" s="695"/>
      <c r="G511" s="272">
        <f>J498</f>
        <v>203.91</v>
      </c>
      <c r="H511" s="262"/>
      <c r="I511" s="262"/>
      <c r="J511" s="262"/>
    </row>
    <row r="512" spans="2:10">
      <c r="B512" s="678" t="s">
        <v>1020</v>
      </c>
      <c r="C512" s="679"/>
      <c r="D512" s="679"/>
      <c r="E512" s="680"/>
      <c r="F512" s="695"/>
      <c r="G512" s="272">
        <f>J506</f>
        <v>0</v>
      </c>
      <c r="H512" s="262"/>
      <c r="I512" s="262"/>
      <c r="J512" s="262"/>
    </row>
    <row r="513" spans="2:10">
      <c r="B513" s="678" t="s">
        <v>1021</v>
      </c>
      <c r="C513" s="679"/>
      <c r="D513" s="679"/>
      <c r="E513" s="680"/>
      <c r="F513" s="695"/>
      <c r="G513" s="272">
        <v>1</v>
      </c>
      <c r="H513" s="262"/>
      <c r="I513" s="262"/>
      <c r="J513" s="262"/>
    </row>
    <row r="514" spans="2:10">
      <c r="B514" s="678" t="s">
        <v>1022</v>
      </c>
      <c r="C514" s="679"/>
      <c r="D514" s="679"/>
      <c r="E514" s="680"/>
      <c r="F514" s="695"/>
      <c r="G514" s="272">
        <f>G510+G512</f>
        <v>107.76</v>
      </c>
      <c r="H514" s="262"/>
      <c r="I514" s="262"/>
      <c r="J514" s="262"/>
    </row>
    <row r="515" spans="2:10">
      <c r="B515" s="678" t="s">
        <v>1023</v>
      </c>
      <c r="C515" s="679"/>
      <c r="D515" s="679"/>
      <c r="E515" s="680"/>
      <c r="F515" s="695"/>
      <c r="G515" s="272">
        <f>G514/G513</f>
        <v>107.76</v>
      </c>
      <c r="H515" s="262"/>
      <c r="I515" s="262"/>
      <c r="J515" s="262"/>
    </row>
    <row r="516" spans="2:10">
      <c r="B516" s="678" t="s">
        <v>1024</v>
      </c>
      <c r="C516" s="679"/>
      <c r="D516" s="679"/>
      <c r="E516" s="680"/>
      <c r="F516" s="682"/>
      <c r="G516" s="272">
        <f>G511+G515</f>
        <v>311.67</v>
      </c>
      <c r="H516" s="262"/>
      <c r="I516" s="262"/>
      <c r="J516" s="262"/>
    </row>
    <row r="517" spans="2:10">
      <c r="B517" s="678" t="s">
        <v>1025</v>
      </c>
      <c r="C517" s="679"/>
      <c r="D517" s="679"/>
      <c r="E517" s="680"/>
      <c r="F517" s="681">
        <f>$J$11</f>
        <v>0.28220000000000001</v>
      </c>
      <c r="G517" s="272">
        <f>G516*F517</f>
        <v>87.953274000000008</v>
      </c>
      <c r="H517" s="262"/>
      <c r="I517" s="262"/>
      <c r="J517" s="262"/>
    </row>
    <row r="518" spans="2:10">
      <c r="B518" s="683" t="s">
        <v>1026</v>
      </c>
      <c r="C518" s="684"/>
      <c r="D518" s="684"/>
      <c r="E518" s="685"/>
      <c r="F518" s="682"/>
      <c r="G518" s="273">
        <f>ROUND(SUM(G516+G517),2)</f>
        <v>399.62</v>
      </c>
      <c r="H518" s="262"/>
      <c r="I518" s="262"/>
      <c r="J518" s="307"/>
    </row>
  </sheetData>
  <mergeCells count="217">
    <mergeCell ref="B506:I506"/>
    <mergeCell ref="B508:G508"/>
    <mergeCell ref="B509:E509"/>
    <mergeCell ref="B510:E510"/>
    <mergeCell ref="F510:F516"/>
    <mergeCell ref="B511:E511"/>
    <mergeCell ref="B512:E512"/>
    <mergeCell ref="B513:E513"/>
    <mergeCell ref="B514:E514"/>
    <mergeCell ref="B515:E515"/>
    <mergeCell ref="B516:E516"/>
    <mergeCell ref="B517:E517"/>
    <mergeCell ref="F517:F518"/>
    <mergeCell ref="B518:E518"/>
    <mergeCell ref="B482:J482"/>
    <mergeCell ref="B498:I498"/>
    <mergeCell ref="B463:E463"/>
    <mergeCell ref="F463:F464"/>
    <mergeCell ref="B464:E464"/>
    <mergeCell ref="B456:E456"/>
    <mergeCell ref="F456:F462"/>
    <mergeCell ref="B457:E457"/>
    <mergeCell ref="B458:E458"/>
    <mergeCell ref="B459:E459"/>
    <mergeCell ref="B466:J466"/>
    <mergeCell ref="B467:J467"/>
    <mergeCell ref="B468:J468"/>
    <mergeCell ref="B469:B472"/>
    <mergeCell ref="D471:J471"/>
    <mergeCell ref="B481:I481"/>
    <mergeCell ref="D470:F470"/>
    <mergeCell ref="B460:E460"/>
    <mergeCell ref="B461:E461"/>
    <mergeCell ref="B462:E462"/>
    <mergeCell ref="B499:J499"/>
    <mergeCell ref="B427:J427"/>
    <mergeCell ref="B444:I444"/>
    <mergeCell ref="B445:J445"/>
    <mergeCell ref="B452:I452"/>
    <mergeCell ref="B454:G454"/>
    <mergeCell ref="B455:E455"/>
    <mergeCell ref="B426:I426"/>
    <mergeCell ref="B411:J411"/>
    <mergeCell ref="B390:J390"/>
    <mergeCell ref="B397:I397"/>
    <mergeCell ref="B399:G399"/>
    <mergeCell ref="B400:E400"/>
    <mergeCell ref="B401:E401"/>
    <mergeCell ref="F401:F407"/>
    <mergeCell ref="B402:E402"/>
    <mergeCell ref="B403:E403"/>
    <mergeCell ref="B409:E409"/>
    <mergeCell ref="B412:J412"/>
    <mergeCell ref="B413:J413"/>
    <mergeCell ref="B414:B417"/>
    <mergeCell ref="D415:E415"/>
    <mergeCell ref="D416:J416"/>
    <mergeCell ref="B370:I370"/>
    <mergeCell ref="B371:J371"/>
    <mergeCell ref="B389:I389"/>
    <mergeCell ref="B404:E404"/>
    <mergeCell ref="B405:E405"/>
    <mergeCell ref="B406:E406"/>
    <mergeCell ref="B407:E407"/>
    <mergeCell ref="B408:E408"/>
    <mergeCell ref="F408:F409"/>
    <mergeCell ref="B352:E352"/>
    <mergeCell ref="F352:F353"/>
    <mergeCell ref="B353:E353"/>
    <mergeCell ref="B355:J355"/>
    <mergeCell ref="B356:J356"/>
    <mergeCell ref="B357:J357"/>
    <mergeCell ref="B358:B361"/>
    <mergeCell ref="D359:E359"/>
    <mergeCell ref="D360:J360"/>
    <mergeCell ref="B313:J313"/>
    <mergeCell ref="B333:I333"/>
    <mergeCell ref="B334:J334"/>
    <mergeCell ref="B341:I341"/>
    <mergeCell ref="B343:G343"/>
    <mergeCell ref="B344:E344"/>
    <mergeCell ref="B345:E345"/>
    <mergeCell ref="F345:F351"/>
    <mergeCell ref="B346:E346"/>
    <mergeCell ref="B347:E347"/>
    <mergeCell ref="B348:E348"/>
    <mergeCell ref="B349:E349"/>
    <mergeCell ref="B350:E350"/>
    <mergeCell ref="B351:E351"/>
    <mergeCell ref="B312:I312"/>
    <mergeCell ref="B292:E292"/>
    <mergeCell ref="B293:E293"/>
    <mergeCell ref="B294:E294"/>
    <mergeCell ref="F294:F295"/>
    <mergeCell ref="B295:E295"/>
    <mergeCell ref="B297:J297"/>
    <mergeCell ref="B298:J298"/>
    <mergeCell ref="B299:J299"/>
    <mergeCell ref="B275:I275"/>
    <mergeCell ref="B240:J240"/>
    <mergeCell ref="B241:J241"/>
    <mergeCell ref="B242:J242"/>
    <mergeCell ref="B276:J276"/>
    <mergeCell ref="B283:I283"/>
    <mergeCell ref="B286:E286"/>
    <mergeCell ref="B300:B303"/>
    <mergeCell ref="D301:E301"/>
    <mergeCell ref="D302:J302"/>
    <mergeCell ref="B287:E287"/>
    <mergeCell ref="F287:F293"/>
    <mergeCell ref="B288:E288"/>
    <mergeCell ref="B289:E289"/>
    <mergeCell ref="B290:E290"/>
    <mergeCell ref="B291:E291"/>
    <mergeCell ref="D245:J245"/>
    <mergeCell ref="F230:F236"/>
    <mergeCell ref="B229:E229"/>
    <mergeCell ref="B230:E230"/>
    <mergeCell ref="B231:E231"/>
    <mergeCell ref="B232:E232"/>
    <mergeCell ref="B285:G285"/>
    <mergeCell ref="B233:E233"/>
    <mergeCell ref="B234:E234"/>
    <mergeCell ref="B235:E235"/>
    <mergeCell ref="B236:E236"/>
    <mergeCell ref="B237:E237"/>
    <mergeCell ref="F237:F238"/>
    <mergeCell ref="B238:E238"/>
    <mergeCell ref="B243:B246"/>
    <mergeCell ref="D244:E244"/>
    <mergeCell ref="B255:I255"/>
    <mergeCell ref="B256:J256"/>
    <mergeCell ref="B219:J219"/>
    <mergeCell ref="B226:I226"/>
    <mergeCell ref="B228:G228"/>
    <mergeCell ref="B181:E181"/>
    <mergeCell ref="F181:F182"/>
    <mergeCell ref="B182:E182"/>
    <mergeCell ref="B184:J184"/>
    <mergeCell ref="B185:J185"/>
    <mergeCell ref="B186:J186"/>
    <mergeCell ref="B187:B190"/>
    <mergeCell ref="D188:E188"/>
    <mergeCell ref="D189:J189"/>
    <mergeCell ref="B199:I199"/>
    <mergeCell ref="B200:J200"/>
    <mergeCell ref="B218:I218"/>
    <mergeCell ref="B142:I142"/>
    <mergeCell ref="B143:J143"/>
    <mergeCell ref="B162:I162"/>
    <mergeCell ref="B163:J163"/>
    <mergeCell ref="B170:I170"/>
    <mergeCell ref="B172:G172"/>
    <mergeCell ref="B173:E173"/>
    <mergeCell ref="B174:E174"/>
    <mergeCell ref="F174:F180"/>
    <mergeCell ref="B175:E175"/>
    <mergeCell ref="B176:E176"/>
    <mergeCell ref="B177:E177"/>
    <mergeCell ref="B178:E178"/>
    <mergeCell ref="B179:E179"/>
    <mergeCell ref="B180:E180"/>
    <mergeCell ref="B124:E124"/>
    <mergeCell ref="F124:F125"/>
    <mergeCell ref="B125:E125"/>
    <mergeCell ref="B127:J127"/>
    <mergeCell ref="B128:J128"/>
    <mergeCell ref="B129:J129"/>
    <mergeCell ref="B130:B133"/>
    <mergeCell ref="D131:E131"/>
    <mergeCell ref="D132:J132"/>
    <mergeCell ref="B83:I83"/>
    <mergeCell ref="B84:J84"/>
    <mergeCell ref="B106:I106"/>
    <mergeCell ref="B107:J107"/>
    <mergeCell ref="B113:I113"/>
    <mergeCell ref="B115:G115"/>
    <mergeCell ref="B116:E116"/>
    <mergeCell ref="B117:E117"/>
    <mergeCell ref="F117:F123"/>
    <mergeCell ref="B118:E118"/>
    <mergeCell ref="B119:E119"/>
    <mergeCell ref="B120:E120"/>
    <mergeCell ref="B121:E121"/>
    <mergeCell ref="B122:E122"/>
    <mergeCell ref="B123:E123"/>
    <mergeCell ref="B67:E67"/>
    <mergeCell ref="F67:F68"/>
    <mergeCell ref="B68:E68"/>
    <mergeCell ref="B70:J70"/>
    <mergeCell ref="B71:J71"/>
    <mergeCell ref="B72:J72"/>
    <mergeCell ref="B73:B76"/>
    <mergeCell ref="D74:E74"/>
    <mergeCell ref="D75:J75"/>
    <mergeCell ref="B48:I48"/>
    <mergeCell ref="B49:J49"/>
    <mergeCell ref="B56:I56"/>
    <mergeCell ref="B58:G58"/>
    <mergeCell ref="B59:E59"/>
    <mergeCell ref="B60:E60"/>
    <mergeCell ref="F60:F66"/>
    <mergeCell ref="B61:E61"/>
    <mergeCell ref="B62:E62"/>
    <mergeCell ref="B63:E63"/>
    <mergeCell ref="B64:E64"/>
    <mergeCell ref="B65:E65"/>
    <mergeCell ref="B66:E66"/>
    <mergeCell ref="B2:J8"/>
    <mergeCell ref="B14:J14"/>
    <mergeCell ref="B15:J15"/>
    <mergeCell ref="B16:J16"/>
    <mergeCell ref="B17:B20"/>
    <mergeCell ref="D18:E18"/>
    <mergeCell ref="D19:J19"/>
    <mergeCell ref="B29:I29"/>
    <mergeCell ref="B30:J30"/>
  </mergeCells>
  <pageMargins left="0.51181102362204722" right="0.51181102362204722" top="0.59055118110236227" bottom="0.59055118110236227" header="0.31496062992125984" footer="0.31496062992125984"/>
  <pageSetup scale="66" fitToWidth="0" fitToHeight="0" orientation="portrait" r:id="rId1"/>
  <drawing r:id="rId2"/>
  <legacyDrawing r:id="rId3"/>
  <oleObjects>
    <mc:AlternateContent xmlns:mc="http://schemas.openxmlformats.org/markup-compatibility/2006">
      <mc:Choice Requires="x14">
        <oleObject shapeId="11265" r:id="rId4">
          <objectPr defaultSize="0" autoPict="0" r:id="rId5">
            <anchor moveWithCells="1" sizeWithCells="1">
              <from>
                <xdr:col>4</xdr:col>
                <xdr:colOff>0</xdr:colOff>
                <xdr:row>1</xdr:row>
                <xdr:rowOff>19050</xdr:rowOff>
              </from>
              <to>
                <xdr:col>4</xdr:col>
                <xdr:colOff>0</xdr:colOff>
                <xdr:row>8</xdr:row>
                <xdr:rowOff>0</xdr:rowOff>
              </to>
            </anchor>
          </objectPr>
        </oleObject>
      </mc:Choice>
      <mc:Fallback>
        <oleObject shapeId="11265" r:id="rId4"/>
      </mc:Fallback>
    </mc:AlternateContent>
    <mc:AlternateContent xmlns:mc="http://schemas.openxmlformats.org/markup-compatibility/2006">
      <mc:Choice Requires="x14">
        <oleObject shapeId="11266" r:id="rId6">
          <objectPr defaultSize="0" autoPict="0" r:id="rId5">
            <anchor moveWithCells="1" sizeWithCells="1">
              <from>
                <xdr:col>1</xdr:col>
                <xdr:colOff>647700</xdr:colOff>
                <xdr:row>1</xdr:row>
                <xdr:rowOff>57150</xdr:rowOff>
              </from>
              <to>
                <xdr:col>1</xdr:col>
                <xdr:colOff>2133600</xdr:colOff>
                <xdr:row>7</xdr:row>
                <xdr:rowOff>161925</xdr:rowOff>
              </to>
            </anchor>
          </objectPr>
        </oleObject>
      </mc:Choice>
      <mc:Fallback>
        <oleObject shapeId="11266" r:id="rId6"/>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59999389629810485"/>
    <outlinePr summaryBelow="0"/>
  </sheetPr>
  <dimension ref="A1:O78"/>
  <sheetViews>
    <sheetView view="pageBreakPreview" zoomScale="85" zoomScaleNormal="100" zoomScaleSheetLayoutView="85" workbookViewId="0">
      <selection activeCell="B2" sqref="B2:E8"/>
    </sheetView>
  </sheetViews>
  <sheetFormatPr defaultRowHeight="15"/>
  <cols>
    <col min="1" max="1" width="3.5703125" style="35" customWidth="1"/>
    <col min="2" max="2" width="16.7109375" customWidth="1"/>
    <col min="3" max="3" width="49" customWidth="1"/>
    <col min="4" max="4" width="24.85546875" customWidth="1"/>
    <col min="5" max="5" width="17.28515625" customWidth="1"/>
    <col min="6" max="15" width="9.140625" style="35"/>
  </cols>
  <sheetData>
    <row r="1" spans="2:6" s="35" customFormat="1" ht="15.75" thickBot="1"/>
    <row r="2" spans="2:6" s="35" customFormat="1">
      <c r="B2" s="603" t="s">
        <v>0</v>
      </c>
      <c r="C2" s="658"/>
      <c r="D2" s="658"/>
      <c r="E2" s="659"/>
    </row>
    <row r="3" spans="2:6" s="35" customFormat="1">
      <c r="B3" s="660"/>
      <c r="C3" s="661"/>
      <c r="D3" s="661"/>
      <c r="E3" s="662"/>
    </row>
    <row r="4" spans="2:6" s="35" customFormat="1">
      <c r="B4" s="660"/>
      <c r="C4" s="661"/>
      <c r="D4" s="661"/>
      <c r="E4" s="662"/>
    </row>
    <row r="5" spans="2:6" s="35" customFormat="1">
      <c r="B5" s="660"/>
      <c r="C5" s="661"/>
      <c r="D5" s="661"/>
      <c r="E5" s="662"/>
    </row>
    <row r="6" spans="2:6" s="35" customFormat="1">
      <c r="B6" s="660"/>
      <c r="C6" s="661"/>
      <c r="D6" s="661"/>
      <c r="E6" s="662"/>
    </row>
    <row r="7" spans="2:6" s="35" customFormat="1">
      <c r="B7" s="660"/>
      <c r="C7" s="661"/>
      <c r="D7" s="661"/>
      <c r="E7" s="662"/>
    </row>
    <row r="8" spans="2:6" s="35" customFormat="1" ht="15.75" thickBot="1">
      <c r="B8" s="663"/>
      <c r="C8" s="664"/>
      <c r="D8" s="664"/>
      <c r="E8" s="665"/>
    </row>
    <row r="9" spans="2:6" s="35" customFormat="1" ht="15.75" thickBot="1">
      <c r="B9" s="11"/>
      <c r="C9" s="11"/>
      <c r="D9" s="11"/>
      <c r="E9" s="11"/>
    </row>
    <row r="10" spans="2:6" s="35" customFormat="1">
      <c r="B10" s="1" t="s">
        <v>813</v>
      </c>
      <c r="C10" s="14"/>
      <c r="D10" s="14"/>
      <c r="E10" s="32"/>
    </row>
    <row r="11" spans="2:6" s="35" customFormat="1">
      <c r="B11" s="4" t="s">
        <v>488</v>
      </c>
      <c r="C11" s="19"/>
      <c r="D11" s="19"/>
      <c r="E11" s="33"/>
      <c r="F11" s="31"/>
    </row>
    <row r="12" spans="2:6" s="35" customFormat="1" ht="15.75" thickBot="1">
      <c r="B12" s="7" t="s">
        <v>489</v>
      </c>
      <c r="C12" s="24"/>
      <c r="D12" s="24"/>
      <c r="E12" s="34"/>
      <c r="F12" s="31"/>
    </row>
    <row r="13" spans="2:6" s="35" customFormat="1" ht="15.75" thickBot="1">
      <c r="B13" s="19"/>
      <c r="C13" s="19"/>
      <c r="D13" s="19"/>
      <c r="E13" s="19"/>
      <c r="F13" s="31"/>
    </row>
    <row r="14" spans="2:6" customFormat="1" ht="16.5" thickBot="1">
      <c r="B14" s="669" t="s">
        <v>814</v>
      </c>
      <c r="C14" s="670"/>
      <c r="D14" s="670"/>
      <c r="E14" s="671"/>
      <c r="F14" s="31"/>
    </row>
    <row r="15" spans="2:6" customFormat="1">
      <c r="B15" s="77" t="s">
        <v>7</v>
      </c>
      <c r="C15" s="77"/>
      <c r="D15" s="77"/>
      <c r="E15" s="77"/>
      <c r="F15" s="77"/>
    </row>
    <row r="16" spans="2:6" customFormat="1">
      <c r="B16" s="77" t="s">
        <v>8</v>
      </c>
      <c r="C16" s="77"/>
      <c r="D16" s="77"/>
      <c r="E16" s="77"/>
      <c r="F16" s="77"/>
    </row>
    <row r="17" spans="1:15" ht="15.75">
      <c r="A17"/>
      <c r="B17" s="711" t="s">
        <v>815</v>
      </c>
      <c r="C17" s="712"/>
      <c r="D17" s="712"/>
      <c r="E17" s="712"/>
      <c r="F17"/>
      <c r="G17"/>
      <c r="H17"/>
      <c r="I17"/>
      <c r="J17"/>
      <c r="K17"/>
      <c r="L17"/>
      <c r="M17"/>
      <c r="N17"/>
      <c r="O17"/>
    </row>
    <row r="18" spans="1:15">
      <c r="A18"/>
      <c r="B18" s="713" t="s">
        <v>527</v>
      </c>
      <c r="C18" s="713"/>
      <c r="D18" s="713"/>
      <c r="E18" s="183" t="s">
        <v>816</v>
      </c>
      <c r="F18"/>
      <c r="G18"/>
      <c r="H18"/>
      <c r="I18"/>
      <c r="J18"/>
      <c r="K18"/>
      <c r="L18"/>
      <c r="M18"/>
      <c r="N18"/>
      <c r="O18"/>
    </row>
    <row r="19" spans="1:15">
      <c r="A19"/>
      <c r="B19" s="715" t="s">
        <v>817</v>
      </c>
      <c r="C19" s="715"/>
      <c r="D19" s="715"/>
      <c r="E19" s="36">
        <v>4.5</v>
      </c>
      <c r="F19"/>
      <c r="G19"/>
      <c r="H19"/>
      <c r="I19"/>
      <c r="J19"/>
      <c r="K19"/>
      <c r="L19"/>
      <c r="M19"/>
      <c r="N19"/>
      <c r="O19"/>
    </row>
    <row r="20" spans="1:15">
      <c r="A20"/>
      <c r="B20" s="715" t="s">
        <v>818</v>
      </c>
      <c r="C20" s="715"/>
      <c r="D20" s="715"/>
      <c r="E20" s="36">
        <v>0.76</v>
      </c>
      <c r="F20"/>
      <c r="G20"/>
      <c r="H20"/>
      <c r="I20"/>
      <c r="J20"/>
      <c r="K20"/>
      <c r="L20"/>
      <c r="M20"/>
      <c r="N20"/>
      <c r="O20"/>
    </row>
    <row r="21" spans="1:15">
      <c r="A21"/>
      <c r="B21" s="715" t="s">
        <v>819</v>
      </c>
      <c r="C21" s="715"/>
      <c r="D21" s="715"/>
      <c r="E21" s="36">
        <v>1</v>
      </c>
      <c r="F21"/>
      <c r="G21"/>
      <c r="H21"/>
      <c r="I21"/>
      <c r="J21"/>
      <c r="K21"/>
      <c r="L21"/>
      <c r="M21"/>
      <c r="N21"/>
      <c r="O21"/>
    </row>
    <row r="22" spans="1:15">
      <c r="A22"/>
      <c r="B22" s="715" t="s">
        <v>820</v>
      </c>
      <c r="C22" s="715"/>
      <c r="D22" s="715"/>
      <c r="E22" s="36">
        <v>1.2010000000000001</v>
      </c>
      <c r="F22"/>
      <c r="G22"/>
      <c r="H22"/>
      <c r="I22"/>
      <c r="J22"/>
      <c r="K22"/>
      <c r="L22"/>
      <c r="M22"/>
      <c r="N22"/>
      <c r="O22"/>
    </row>
    <row r="23" spans="1:15">
      <c r="A23"/>
      <c r="B23" s="715" t="s">
        <v>821</v>
      </c>
      <c r="C23" s="715"/>
      <c r="D23" s="715"/>
      <c r="E23" s="36">
        <v>4.75</v>
      </c>
      <c r="F23"/>
      <c r="G23"/>
      <c r="H23"/>
      <c r="I23"/>
      <c r="J23"/>
      <c r="K23"/>
      <c r="L23"/>
      <c r="M23"/>
      <c r="N23"/>
      <c r="O23"/>
    </row>
    <row r="24" spans="1:15">
      <c r="A24"/>
      <c r="B24" s="715" t="s">
        <v>822</v>
      </c>
      <c r="C24" s="715"/>
      <c r="D24" s="715"/>
      <c r="E24" s="36">
        <f>SUM(E25:E28)</f>
        <v>12.15</v>
      </c>
      <c r="F24"/>
      <c r="G24"/>
      <c r="H24"/>
      <c r="I24"/>
      <c r="J24"/>
      <c r="K24"/>
      <c r="L24"/>
      <c r="M24"/>
      <c r="N24"/>
      <c r="O24"/>
    </row>
    <row r="25" spans="1:15">
      <c r="A25"/>
      <c r="B25" s="714" t="s">
        <v>823</v>
      </c>
      <c r="C25" s="714"/>
      <c r="D25" s="714"/>
      <c r="E25" s="36">
        <v>0.65</v>
      </c>
      <c r="F25"/>
      <c r="G25"/>
      <c r="H25"/>
      <c r="I25"/>
      <c r="J25"/>
      <c r="K25"/>
      <c r="L25"/>
      <c r="M25"/>
      <c r="N25"/>
      <c r="O25"/>
    </row>
    <row r="26" spans="1:15">
      <c r="A26"/>
      <c r="B26" s="714" t="s">
        <v>824</v>
      </c>
      <c r="C26" s="714"/>
      <c r="D26" s="714"/>
      <c r="E26" s="36">
        <v>3</v>
      </c>
      <c r="F26"/>
      <c r="G26"/>
      <c r="H26"/>
      <c r="I26"/>
      <c r="J26"/>
      <c r="K26"/>
      <c r="L26"/>
      <c r="M26"/>
      <c r="N26"/>
      <c r="O26"/>
    </row>
    <row r="27" spans="1:15">
      <c r="A27"/>
      <c r="B27" s="714" t="s">
        <v>825</v>
      </c>
      <c r="C27" s="714"/>
      <c r="D27" s="714"/>
      <c r="E27" s="36">
        <v>4</v>
      </c>
      <c r="F27"/>
      <c r="G27"/>
      <c r="H27"/>
      <c r="I27"/>
      <c r="J27"/>
      <c r="K27"/>
      <c r="L27"/>
      <c r="M27"/>
      <c r="N27"/>
      <c r="O27"/>
    </row>
    <row r="28" spans="1:15">
      <c r="A28"/>
      <c r="B28" s="714" t="s">
        <v>826</v>
      </c>
      <c r="C28" s="714"/>
      <c r="D28" s="714"/>
      <c r="E28" s="36">
        <v>4.5</v>
      </c>
      <c r="F28"/>
      <c r="G28"/>
      <c r="H28"/>
      <c r="I28"/>
      <c r="J28"/>
      <c r="K28"/>
      <c r="L28"/>
      <c r="M28"/>
      <c r="N28"/>
      <c r="O28"/>
    </row>
    <row r="29" spans="1:15">
      <c r="A29"/>
      <c r="B29" s="37"/>
      <c r="C29" s="38"/>
      <c r="D29" s="38"/>
      <c r="E29" s="38"/>
      <c r="F29"/>
      <c r="G29"/>
      <c r="H29"/>
      <c r="I29"/>
      <c r="J29"/>
      <c r="K29"/>
      <c r="L29"/>
      <c r="M29"/>
      <c r="N29"/>
      <c r="O29"/>
    </row>
    <row r="30" spans="1:15" ht="15.75">
      <c r="A30"/>
      <c r="B30" s="711" t="s">
        <v>827</v>
      </c>
      <c r="C30" s="712"/>
      <c r="D30" s="712"/>
      <c r="E30" s="712"/>
      <c r="F30"/>
      <c r="G30"/>
      <c r="H30"/>
      <c r="I30"/>
      <c r="J30"/>
      <c r="K30"/>
      <c r="L30"/>
      <c r="M30"/>
      <c r="N30"/>
      <c r="O30"/>
    </row>
    <row r="31" spans="1:15">
      <c r="A31"/>
      <c r="B31" s="39"/>
      <c r="C31" s="39"/>
      <c r="D31" s="39"/>
      <c r="E31" s="39"/>
      <c r="F31"/>
      <c r="G31"/>
      <c r="H31"/>
      <c r="I31"/>
      <c r="J31"/>
      <c r="K31"/>
      <c r="L31"/>
      <c r="M31"/>
      <c r="N31"/>
      <c r="O31"/>
    </row>
    <row r="32" spans="1:15">
      <c r="A32"/>
      <c r="B32" s="716" t="s">
        <v>828</v>
      </c>
      <c r="C32" s="717"/>
      <c r="D32" s="717"/>
      <c r="E32" s="718"/>
      <c r="F32"/>
      <c r="G32"/>
      <c r="H32"/>
      <c r="I32"/>
      <c r="J32"/>
      <c r="K32"/>
      <c r="L32"/>
      <c r="M32"/>
      <c r="N32"/>
      <c r="O32"/>
    </row>
    <row r="33" spans="1:15">
      <c r="A33"/>
      <c r="B33" s="719"/>
      <c r="C33" s="720"/>
      <c r="D33" s="720"/>
      <c r="E33" s="721"/>
      <c r="F33"/>
      <c r="G33"/>
      <c r="H33"/>
      <c r="I33"/>
      <c r="J33"/>
      <c r="K33"/>
      <c r="L33"/>
      <c r="M33"/>
      <c r="N33"/>
      <c r="O33"/>
    </row>
    <row r="34" spans="1:15">
      <c r="B34" s="722"/>
      <c r="C34" s="723"/>
      <c r="D34" s="723"/>
      <c r="E34" s="724"/>
    </row>
    <row r="35" spans="1:15" hidden="1">
      <c r="B35" s="40">
        <f t="shared" ref="B35:B40" si="0">E19/100</f>
        <v>4.4999999999999998E-2</v>
      </c>
      <c r="C35" s="40"/>
      <c r="D35" s="40"/>
      <c r="E35" s="40"/>
    </row>
    <row r="36" spans="1:15" hidden="1">
      <c r="B36" s="40">
        <f t="shared" si="0"/>
        <v>7.6E-3</v>
      </c>
      <c r="C36" s="40"/>
      <c r="D36" s="40"/>
      <c r="E36" s="40"/>
    </row>
    <row r="37" spans="1:15" hidden="1">
      <c r="B37" s="40">
        <f t="shared" si="0"/>
        <v>0.01</v>
      </c>
      <c r="C37" s="40"/>
      <c r="D37" s="40"/>
      <c r="E37" s="40"/>
    </row>
    <row r="38" spans="1:15" hidden="1">
      <c r="B38" s="40">
        <f t="shared" si="0"/>
        <v>1.201E-2</v>
      </c>
      <c r="C38" s="40"/>
      <c r="D38" s="40"/>
      <c r="E38" s="40"/>
    </row>
    <row r="39" spans="1:15" hidden="1">
      <c r="B39" s="40">
        <f t="shared" si="0"/>
        <v>4.7500000000000001E-2</v>
      </c>
      <c r="C39" s="40"/>
      <c r="D39" s="40"/>
      <c r="E39" s="40"/>
    </row>
    <row r="40" spans="1:15" hidden="1">
      <c r="B40" s="40">
        <f t="shared" si="0"/>
        <v>0.1215</v>
      </c>
      <c r="C40" s="40"/>
      <c r="D40" s="40"/>
      <c r="E40" s="40"/>
    </row>
    <row r="41" spans="1:15">
      <c r="B41" s="41"/>
      <c r="C41" s="41"/>
      <c r="D41" s="41"/>
      <c r="E41" s="41"/>
    </row>
    <row r="42" spans="1:15" s="44" customFormat="1" ht="24" customHeight="1">
      <c r="A42" s="42"/>
      <c r="B42" s="725" t="s">
        <v>829</v>
      </c>
      <c r="C42" s="726"/>
      <c r="D42" s="727"/>
      <c r="E42" s="43">
        <f>ROUND(((1+(B35+B36+B37))*(1+B38)*(1+B39)/(1-B40))-1,4)</f>
        <v>0.28220000000000001</v>
      </c>
      <c r="F42" s="42"/>
      <c r="G42" s="42"/>
      <c r="H42" s="42"/>
      <c r="I42" s="42"/>
      <c r="J42" s="42"/>
      <c r="K42" s="42"/>
      <c r="L42" s="42"/>
      <c r="M42" s="42"/>
      <c r="N42" s="42"/>
      <c r="O42" s="42"/>
    </row>
    <row r="43" spans="1:15" s="35" customFormat="1"/>
    <row r="44" spans="1:15" s="35" customFormat="1"/>
    <row r="45" spans="1:15" s="35" customFormat="1"/>
    <row r="46" spans="1:15" s="35" customFormat="1"/>
    <row r="47" spans="1:15" s="35" customFormat="1"/>
    <row r="48" spans="1:15" s="35" customFormat="1"/>
    <row r="49" s="35" customFormat="1"/>
    <row r="50" s="35" customFormat="1"/>
    <row r="51" s="35" customFormat="1"/>
    <row r="52" s="35" customFormat="1"/>
    <row r="53" s="35" customFormat="1"/>
    <row r="54" s="35" customFormat="1"/>
    <row r="55" s="35" customFormat="1"/>
    <row r="56" s="35" customFormat="1"/>
    <row r="57" s="35" customFormat="1"/>
    <row r="58" s="35" customFormat="1"/>
    <row r="59" s="35" customFormat="1"/>
    <row r="60" s="35" customFormat="1"/>
    <row r="61" s="35" customFormat="1"/>
    <row r="62" s="35" customFormat="1"/>
    <row r="63" s="35" customFormat="1"/>
    <row r="64" s="35" customFormat="1"/>
    <row r="65" spans="1:15" s="35" customFormat="1"/>
    <row r="66" spans="1:15" s="35" customFormat="1"/>
    <row r="67" spans="1:15" s="35" customFormat="1"/>
    <row r="68" spans="1:15" s="35" customFormat="1"/>
    <row r="69" spans="1:15" s="35" customFormat="1"/>
    <row r="70" spans="1:15" s="35" customFormat="1"/>
    <row r="71" spans="1:15" s="35" customFormat="1"/>
    <row r="72" spans="1:15" s="35" customFormat="1"/>
    <row r="73" spans="1:15" s="35" customFormat="1"/>
    <row r="74" spans="1:15" s="35" customFormat="1"/>
    <row r="75" spans="1:15" s="35" customFormat="1"/>
    <row r="76" spans="1:15" s="35" customFormat="1"/>
    <row r="77" spans="1:15">
      <c r="A77"/>
      <c r="F77"/>
      <c r="G77"/>
      <c r="H77"/>
      <c r="I77"/>
      <c r="J77"/>
      <c r="K77"/>
      <c r="L77"/>
      <c r="M77"/>
      <c r="N77"/>
      <c r="O77"/>
    </row>
    <row r="78" spans="1:15">
      <c r="A78"/>
      <c r="F78"/>
      <c r="G78"/>
      <c r="H78"/>
      <c r="I78"/>
      <c r="J78"/>
      <c r="K78"/>
      <c r="L78"/>
      <c r="M78"/>
      <c r="N78"/>
      <c r="O78"/>
    </row>
  </sheetData>
  <mergeCells count="17">
    <mergeCell ref="B26:D26"/>
    <mergeCell ref="B28:D28"/>
    <mergeCell ref="B30:E30"/>
    <mergeCell ref="B32:E34"/>
    <mergeCell ref="B42:D42"/>
    <mergeCell ref="B27:D27"/>
    <mergeCell ref="B2:E8"/>
    <mergeCell ref="B14:E14"/>
    <mergeCell ref="B17:E17"/>
    <mergeCell ref="B18:D18"/>
    <mergeCell ref="B25:D25"/>
    <mergeCell ref="B19:D19"/>
    <mergeCell ref="B20:D20"/>
    <mergeCell ref="B21:D21"/>
    <mergeCell ref="B22:D22"/>
    <mergeCell ref="B23:D23"/>
    <mergeCell ref="B24:D24"/>
  </mergeCells>
  <pageMargins left="0.27559055118110237" right="0.27559055118110237" top="0.27559055118110237" bottom="0.27559055118110237" header="0" footer="0"/>
  <pageSetup scale="93" fitToWidth="0" fitToHeight="0" orientation="portrait" r:id="rId1"/>
  <drawing r:id="rId2"/>
  <legacyDrawing r:id="rId3"/>
  <oleObjects>
    <mc:AlternateContent xmlns:mc="http://schemas.openxmlformats.org/markup-compatibility/2006">
      <mc:Choice Requires="x14">
        <oleObject shapeId="17410" r:id="rId4">
          <objectPr defaultSize="0" autoPict="0" r:id="rId5">
            <anchor moveWithCells="1" sizeWithCells="1">
              <from>
                <xdr:col>1</xdr:col>
                <xdr:colOff>190500</xdr:colOff>
                <xdr:row>1</xdr:row>
                <xdr:rowOff>142875</xdr:rowOff>
              </from>
              <to>
                <xdr:col>1</xdr:col>
                <xdr:colOff>1066800</xdr:colOff>
                <xdr:row>6</xdr:row>
                <xdr:rowOff>161925</xdr:rowOff>
              </to>
            </anchor>
          </objectPr>
        </oleObject>
      </mc:Choice>
      <mc:Fallback>
        <oleObject shapeId="17410" r:id="rId4"/>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59999389629810485"/>
    <outlinePr summaryBelow="0"/>
  </sheetPr>
  <dimension ref="A1:O78"/>
  <sheetViews>
    <sheetView tabSelected="1" view="pageBreakPreview" zoomScale="85" zoomScaleNormal="100" zoomScaleSheetLayoutView="85" workbookViewId="0">
      <selection activeCell="B26" sqref="B26:D26"/>
    </sheetView>
  </sheetViews>
  <sheetFormatPr defaultRowHeight="15"/>
  <cols>
    <col min="1" max="1" width="3.5703125" style="317" customWidth="1"/>
    <col min="2" max="2" width="16.7109375" style="327" customWidth="1"/>
    <col min="3" max="3" width="49" style="327" customWidth="1"/>
    <col min="4" max="4" width="24.85546875" style="327" customWidth="1"/>
    <col min="5" max="5" width="17.28515625" style="327" customWidth="1"/>
    <col min="6" max="15" width="9.140625" style="317"/>
    <col min="16" max="16384" width="9.140625" style="327"/>
  </cols>
  <sheetData>
    <row r="1" spans="2:6" s="317" customFormat="1" ht="15.75" thickBot="1"/>
    <row r="2" spans="2:6" s="317" customFormat="1">
      <c r="B2" s="603" t="s">
        <v>0</v>
      </c>
      <c r="C2" s="658"/>
      <c r="D2" s="658"/>
      <c r="E2" s="659"/>
    </row>
    <row r="3" spans="2:6" s="317" customFormat="1">
      <c r="B3" s="660"/>
      <c r="C3" s="661"/>
      <c r="D3" s="661"/>
      <c r="E3" s="662"/>
    </row>
    <row r="4" spans="2:6" s="317" customFormat="1">
      <c r="B4" s="660"/>
      <c r="C4" s="661"/>
      <c r="D4" s="661"/>
      <c r="E4" s="662"/>
    </row>
    <row r="5" spans="2:6" s="317" customFormat="1">
      <c r="B5" s="660"/>
      <c r="C5" s="661"/>
      <c r="D5" s="661"/>
      <c r="E5" s="662"/>
    </row>
    <row r="6" spans="2:6" s="317" customFormat="1">
      <c r="B6" s="660"/>
      <c r="C6" s="661"/>
      <c r="D6" s="661"/>
      <c r="E6" s="662"/>
    </row>
    <row r="7" spans="2:6" s="317" customFormat="1">
      <c r="B7" s="660"/>
      <c r="C7" s="661"/>
      <c r="D7" s="661"/>
      <c r="E7" s="662"/>
    </row>
    <row r="8" spans="2:6" s="317" customFormat="1" ht="15.75" thickBot="1">
      <c r="B8" s="663"/>
      <c r="C8" s="664"/>
      <c r="D8" s="664"/>
      <c r="E8" s="665"/>
    </row>
    <row r="9" spans="2:6" s="317" customFormat="1" ht="15.75" thickBot="1">
      <c r="B9" s="11"/>
      <c r="C9" s="11"/>
      <c r="D9" s="11"/>
      <c r="E9" s="11"/>
    </row>
    <row r="10" spans="2:6" s="317" customFormat="1">
      <c r="B10" s="318" t="s">
        <v>813</v>
      </c>
      <c r="C10" s="319"/>
      <c r="D10" s="319"/>
      <c r="E10" s="320"/>
    </row>
    <row r="11" spans="2:6" s="317" customFormat="1">
      <c r="B11" s="321" t="s">
        <v>488</v>
      </c>
      <c r="C11" s="322"/>
      <c r="D11" s="322"/>
      <c r="E11" s="323"/>
      <c r="F11" s="31"/>
    </row>
    <row r="12" spans="2:6" s="317" customFormat="1" ht="15.75" thickBot="1">
      <c r="B12" s="324" t="s">
        <v>489</v>
      </c>
      <c r="C12" s="325"/>
      <c r="D12" s="325"/>
      <c r="E12" s="326"/>
      <c r="F12" s="31"/>
    </row>
    <row r="13" spans="2:6" s="317" customFormat="1" ht="15.75" thickBot="1">
      <c r="B13" s="322"/>
      <c r="C13" s="322"/>
      <c r="D13" s="322"/>
      <c r="E13" s="322"/>
      <c r="F13" s="31"/>
    </row>
    <row r="14" spans="2:6" s="327" customFormat="1" ht="16.5" thickBot="1">
      <c r="B14" s="729" t="s">
        <v>2130</v>
      </c>
      <c r="C14" s="730"/>
      <c r="D14" s="730"/>
      <c r="E14" s="731"/>
      <c r="F14" s="31"/>
    </row>
    <row r="15" spans="2:6" s="327" customFormat="1">
      <c r="B15" s="328" t="s">
        <v>7</v>
      </c>
      <c r="C15" s="328"/>
      <c r="D15" s="328"/>
      <c r="E15" s="328"/>
      <c r="F15" s="328"/>
    </row>
    <row r="16" spans="2:6" s="327" customFormat="1">
      <c r="B16" s="328" t="s">
        <v>8</v>
      </c>
      <c r="C16" s="328"/>
      <c r="D16" s="328"/>
      <c r="E16" s="328"/>
      <c r="F16" s="328"/>
    </row>
    <row r="17" spans="1:15" ht="15.75">
      <c r="A17" s="327"/>
      <c r="B17" s="732" t="s">
        <v>815</v>
      </c>
      <c r="C17" s="733"/>
      <c r="D17" s="733"/>
      <c r="E17" s="733"/>
      <c r="F17" s="327"/>
      <c r="G17" s="327"/>
      <c r="H17" s="327"/>
      <c r="I17" s="327"/>
      <c r="J17" s="327"/>
      <c r="K17" s="327"/>
      <c r="L17" s="327"/>
      <c r="M17" s="327"/>
      <c r="N17" s="327"/>
      <c r="O17" s="327"/>
    </row>
    <row r="18" spans="1:15">
      <c r="A18" s="327"/>
      <c r="B18" s="734" t="s">
        <v>527</v>
      </c>
      <c r="C18" s="734"/>
      <c r="D18" s="734"/>
      <c r="E18" s="329" t="s">
        <v>816</v>
      </c>
      <c r="F18" s="327"/>
      <c r="G18" s="327"/>
      <c r="H18" s="327"/>
      <c r="I18" s="327"/>
      <c r="J18" s="327"/>
      <c r="K18" s="327"/>
      <c r="L18" s="327"/>
      <c r="M18" s="327"/>
      <c r="N18" s="327"/>
      <c r="O18" s="327"/>
    </row>
    <row r="19" spans="1:15">
      <c r="A19" s="327"/>
      <c r="B19" s="735" t="s">
        <v>817</v>
      </c>
      <c r="C19" s="735"/>
      <c r="D19" s="735"/>
      <c r="E19" s="330">
        <v>1.5</v>
      </c>
      <c r="F19" s="327"/>
      <c r="G19" s="327"/>
      <c r="H19" s="327"/>
      <c r="I19" s="327"/>
      <c r="J19" s="327"/>
      <c r="K19" s="327"/>
      <c r="L19" s="327"/>
      <c r="M19" s="327"/>
      <c r="N19" s="327"/>
      <c r="O19" s="327"/>
    </row>
    <row r="20" spans="1:15">
      <c r="A20" s="327"/>
      <c r="B20" s="735" t="s">
        <v>818</v>
      </c>
      <c r="C20" s="735"/>
      <c r="D20" s="735"/>
      <c r="E20" s="330">
        <v>0.48</v>
      </c>
      <c r="F20" s="327"/>
      <c r="G20" s="327"/>
      <c r="H20" s="327"/>
      <c r="I20" s="327"/>
      <c r="J20" s="327"/>
      <c r="K20" s="327"/>
      <c r="L20" s="327"/>
      <c r="M20" s="327"/>
      <c r="N20" s="327"/>
      <c r="O20" s="327"/>
    </row>
    <row r="21" spans="1:15">
      <c r="A21" s="327"/>
      <c r="B21" s="735" t="s">
        <v>819</v>
      </c>
      <c r="C21" s="735"/>
      <c r="D21" s="735"/>
      <c r="E21" s="330">
        <v>0.85</v>
      </c>
      <c r="F21" s="327"/>
      <c r="G21" s="327"/>
      <c r="H21" s="327"/>
      <c r="I21" s="327"/>
      <c r="J21" s="327"/>
      <c r="K21" s="327"/>
      <c r="L21" s="327"/>
      <c r="M21" s="327"/>
      <c r="N21" s="327"/>
      <c r="O21" s="327"/>
    </row>
    <row r="22" spans="1:15">
      <c r="A22" s="327"/>
      <c r="B22" s="735" t="s">
        <v>820</v>
      </c>
      <c r="C22" s="735"/>
      <c r="D22" s="735"/>
      <c r="E22" s="330">
        <v>0.85</v>
      </c>
      <c r="F22" s="327"/>
      <c r="G22" s="327"/>
      <c r="H22" s="327"/>
      <c r="I22" s="327"/>
      <c r="J22" s="327"/>
      <c r="K22" s="327"/>
      <c r="L22" s="327"/>
      <c r="M22" s="327"/>
      <c r="N22" s="327"/>
      <c r="O22" s="327"/>
    </row>
    <row r="23" spans="1:15">
      <c r="A23" s="327"/>
      <c r="B23" s="735" t="s">
        <v>821</v>
      </c>
      <c r="C23" s="735"/>
      <c r="D23" s="735"/>
      <c r="E23" s="330">
        <v>3.63</v>
      </c>
      <c r="F23" s="327"/>
      <c r="G23" s="327"/>
      <c r="H23" s="327"/>
      <c r="I23" s="327"/>
      <c r="J23" s="327"/>
      <c r="K23" s="327"/>
      <c r="L23" s="327"/>
      <c r="M23" s="327"/>
      <c r="N23" s="327"/>
      <c r="O23" s="327"/>
    </row>
    <row r="24" spans="1:15">
      <c r="A24" s="327"/>
      <c r="B24" s="735" t="s">
        <v>1143</v>
      </c>
      <c r="C24" s="735"/>
      <c r="D24" s="735"/>
      <c r="E24" s="330">
        <v>5.75</v>
      </c>
      <c r="F24" s="327"/>
      <c r="G24" s="327"/>
      <c r="H24" s="327"/>
      <c r="I24" s="327"/>
      <c r="J24" s="327"/>
      <c r="K24" s="327"/>
      <c r="L24" s="327"/>
      <c r="M24" s="327"/>
      <c r="N24" s="327"/>
      <c r="O24" s="327"/>
    </row>
    <row r="25" spans="1:15">
      <c r="A25" s="327"/>
      <c r="B25" s="736"/>
      <c r="C25" s="737"/>
      <c r="D25" s="738"/>
      <c r="E25" s="330"/>
      <c r="F25" s="327"/>
      <c r="G25" s="327"/>
      <c r="H25" s="327"/>
      <c r="I25" s="327"/>
      <c r="J25" s="327"/>
      <c r="K25" s="327"/>
      <c r="L25" s="327"/>
      <c r="M25" s="327"/>
      <c r="N25" s="327"/>
      <c r="O25" s="327"/>
    </row>
    <row r="26" spans="1:15">
      <c r="A26" s="327"/>
      <c r="B26" s="728"/>
      <c r="C26" s="728"/>
      <c r="D26" s="728"/>
      <c r="E26" s="330"/>
      <c r="F26" s="327"/>
      <c r="G26" s="327"/>
      <c r="H26" s="327"/>
      <c r="I26" s="327"/>
      <c r="J26" s="327"/>
      <c r="K26" s="327"/>
      <c r="L26" s="327"/>
      <c r="M26" s="327"/>
      <c r="N26" s="327"/>
      <c r="O26" s="327"/>
    </row>
    <row r="27" spans="1:15">
      <c r="A27" s="327"/>
      <c r="B27" s="728"/>
      <c r="C27" s="728"/>
      <c r="D27" s="728"/>
      <c r="E27" s="330"/>
      <c r="F27" s="327"/>
      <c r="G27" s="327"/>
      <c r="H27" s="327"/>
      <c r="I27" s="327"/>
      <c r="J27" s="327"/>
      <c r="K27" s="327"/>
      <c r="L27" s="327"/>
      <c r="M27" s="327"/>
      <c r="N27" s="327"/>
      <c r="O27" s="327"/>
    </row>
    <row r="28" spans="1:15">
      <c r="A28" s="327"/>
      <c r="B28" s="728"/>
      <c r="C28" s="728"/>
      <c r="D28" s="728"/>
      <c r="E28" s="330"/>
      <c r="F28" s="327"/>
      <c r="G28" s="327"/>
      <c r="H28" s="327"/>
      <c r="I28" s="327"/>
      <c r="J28" s="327"/>
      <c r="K28" s="327"/>
      <c r="L28" s="327"/>
      <c r="M28" s="327"/>
      <c r="N28" s="327"/>
      <c r="O28" s="327"/>
    </row>
    <row r="29" spans="1:15">
      <c r="A29" s="327"/>
      <c r="B29" s="331"/>
      <c r="C29" s="332"/>
      <c r="D29" s="332"/>
      <c r="E29" s="332"/>
      <c r="F29" s="327"/>
      <c r="G29" s="327"/>
      <c r="H29" s="327"/>
      <c r="I29" s="327"/>
      <c r="J29" s="327"/>
      <c r="K29" s="327"/>
      <c r="L29" s="327"/>
      <c r="M29" s="327"/>
      <c r="N29" s="327"/>
      <c r="O29" s="327"/>
    </row>
    <row r="30" spans="1:15" ht="15.75">
      <c r="A30" s="327"/>
      <c r="B30" s="732" t="s">
        <v>827</v>
      </c>
      <c r="C30" s="733"/>
      <c r="D30" s="733"/>
      <c r="E30" s="733"/>
      <c r="F30" s="327"/>
      <c r="G30" s="327"/>
      <c r="H30" s="327"/>
      <c r="I30" s="327"/>
      <c r="J30" s="327"/>
      <c r="K30" s="327"/>
      <c r="L30" s="327"/>
      <c r="M30" s="327"/>
      <c r="N30" s="327"/>
      <c r="O30" s="327"/>
    </row>
    <row r="31" spans="1:15">
      <c r="A31" s="327"/>
      <c r="B31" s="333"/>
      <c r="C31" s="333"/>
      <c r="D31" s="333"/>
      <c r="E31" s="333"/>
      <c r="F31" s="327"/>
      <c r="G31" s="327"/>
      <c r="H31" s="327"/>
      <c r="I31" s="327"/>
      <c r="J31" s="327"/>
      <c r="K31" s="327"/>
      <c r="L31" s="327"/>
      <c r="M31" s="327"/>
      <c r="N31" s="327"/>
      <c r="O31" s="327"/>
    </row>
    <row r="32" spans="1:15">
      <c r="A32" s="327"/>
      <c r="B32" s="739" t="s">
        <v>828</v>
      </c>
      <c r="C32" s="740"/>
      <c r="D32" s="740"/>
      <c r="E32" s="741"/>
      <c r="F32" s="327"/>
      <c r="G32" s="327"/>
      <c r="H32" s="327"/>
      <c r="I32" s="327"/>
      <c r="J32" s="327"/>
      <c r="K32" s="327"/>
      <c r="L32" s="327"/>
      <c r="M32" s="327"/>
      <c r="N32" s="327"/>
      <c r="O32" s="327"/>
    </row>
    <row r="33" spans="1:15">
      <c r="A33" s="327"/>
      <c r="B33" s="742"/>
      <c r="C33" s="743"/>
      <c r="D33" s="743"/>
      <c r="E33" s="744"/>
      <c r="F33" s="327"/>
      <c r="G33" s="327"/>
      <c r="H33" s="327"/>
      <c r="I33" s="327"/>
      <c r="J33" s="327"/>
      <c r="K33" s="327"/>
      <c r="L33" s="327"/>
      <c r="M33" s="327"/>
      <c r="N33" s="327"/>
      <c r="O33" s="327"/>
    </row>
    <row r="34" spans="1:15">
      <c r="B34" s="745"/>
      <c r="C34" s="746"/>
      <c r="D34" s="746"/>
      <c r="E34" s="747"/>
    </row>
    <row r="35" spans="1:15" hidden="1">
      <c r="B35" s="334">
        <f t="shared" ref="B35:B40" si="0">E19/100</f>
        <v>1.4999999999999999E-2</v>
      </c>
      <c r="C35" s="334"/>
      <c r="D35" s="334"/>
      <c r="E35" s="334"/>
    </row>
    <row r="36" spans="1:15" hidden="1">
      <c r="B36" s="334">
        <f t="shared" si="0"/>
        <v>4.7999999999999996E-3</v>
      </c>
      <c r="C36" s="334"/>
      <c r="D36" s="334"/>
      <c r="E36" s="334"/>
    </row>
    <row r="37" spans="1:15" hidden="1">
      <c r="B37" s="334">
        <f t="shared" si="0"/>
        <v>8.5000000000000006E-3</v>
      </c>
      <c r="C37" s="334"/>
      <c r="D37" s="334"/>
      <c r="E37" s="334"/>
    </row>
    <row r="38" spans="1:15" hidden="1">
      <c r="B38" s="334">
        <f t="shared" si="0"/>
        <v>8.5000000000000006E-3</v>
      </c>
      <c r="C38" s="334"/>
      <c r="D38" s="334"/>
      <c r="E38" s="334"/>
    </row>
    <row r="39" spans="1:15" hidden="1">
      <c r="B39" s="334">
        <f t="shared" si="0"/>
        <v>3.6299999999999999E-2</v>
      </c>
      <c r="C39" s="334"/>
      <c r="D39" s="334"/>
      <c r="E39" s="334"/>
    </row>
    <row r="40" spans="1:15" hidden="1">
      <c r="B40" s="334">
        <f t="shared" si="0"/>
        <v>5.7500000000000002E-2</v>
      </c>
      <c r="C40" s="334"/>
      <c r="D40" s="334"/>
      <c r="E40" s="334"/>
    </row>
    <row r="41" spans="1:15">
      <c r="B41" s="335"/>
      <c r="C41" s="335"/>
      <c r="D41" s="335"/>
      <c r="E41" s="335"/>
    </row>
    <row r="42" spans="1:15" s="338" customFormat="1" ht="24" customHeight="1">
      <c r="A42" s="336"/>
      <c r="B42" s="748" t="s">
        <v>829</v>
      </c>
      <c r="C42" s="749"/>
      <c r="D42" s="750"/>
      <c r="E42" s="337">
        <f>ROUND(((1+(B35+B36+B37))*(1+B38)*(1+B39)/(1-B40))-1,4)</f>
        <v>0.14019999999999999</v>
      </c>
      <c r="F42" s="336"/>
      <c r="G42" s="336"/>
      <c r="H42" s="336"/>
      <c r="I42" s="336"/>
      <c r="J42" s="336"/>
      <c r="K42" s="336"/>
      <c r="L42" s="336"/>
      <c r="M42" s="336"/>
      <c r="N42" s="336"/>
      <c r="O42" s="336"/>
    </row>
    <row r="43" spans="1:15" s="317" customFormat="1"/>
    <row r="44" spans="1:15" s="317" customFormat="1"/>
    <row r="45" spans="1:15" s="317" customFormat="1"/>
    <row r="46" spans="1:15" s="317" customFormat="1"/>
    <row r="47" spans="1:15" s="317" customFormat="1"/>
    <row r="48" spans="1:15" s="317" customFormat="1"/>
    <row r="49" s="317" customFormat="1"/>
    <row r="50" s="317" customFormat="1"/>
    <row r="51" s="317" customFormat="1"/>
    <row r="52" s="317" customFormat="1"/>
    <row r="53" s="317" customFormat="1"/>
    <row r="54" s="317" customFormat="1"/>
    <row r="55" s="317" customFormat="1"/>
    <row r="56" s="317" customFormat="1"/>
    <row r="57" s="317" customFormat="1"/>
    <row r="58" s="317" customFormat="1"/>
    <row r="59" s="317" customFormat="1"/>
    <row r="60" s="317" customFormat="1"/>
    <row r="61" s="317" customFormat="1"/>
    <row r="62" s="317" customFormat="1"/>
    <row r="63" s="317" customFormat="1"/>
    <row r="64" s="317" customFormat="1"/>
    <row r="65" spans="1:15" s="317" customFormat="1"/>
    <row r="66" spans="1:15" s="317" customFormat="1"/>
    <row r="67" spans="1:15" s="317" customFormat="1"/>
    <row r="68" spans="1:15" s="317" customFormat="1"/>
    <row r="69" spans="1:15" s="317" customFormat="1"/>
    <row r="70" spans="1:15" s="317" customFormat="1"/>
    <row r="71" spans="1:15" s="317" customFormat="1"/>
    <row r="72" spans="1:15" s="317" customFormat="1"/>
    <row r="73" spans="1:15" s="317" customFormat="1"/>
    <row r="74" spans="1:15" s="317" customFormat="1"/>
    <row r="75" spans="1:15" s="317" customFormat="1"/>
    <row r="76" spans="1:15" s="317" customFormat="1"/>
    <row r="77" spans="1:15">
      <c r="A77" s="327"/>
      <c r="F77" s="327"/>
      <c r="G77" s="327"/>
      <c r="H77" s="327"/>
      <c r="I77" s="327"/>
      <c r="J77" s="327"/>
      <c r="K77" s="327"/>
      <c r="L77" s="327"/>
      <c r="M77" s="327"/>
      <c r="N77" s="327"/>
      <c r="O77" s="327"/>
    </row>
    <row r="78" spans="1:15">
      <c r="A78" s="327"/>
      <c r="F78" s="327"/>
      <c r="G78" s="327"/>
      <c r="H78" s="327"/>
      <c r="I78" s="327"/>
      <c r="J78" s="327"/>
      <c r="K78" s="327"/>
      <c r="L78" s="327"/>
      <c r="M78" s="327"/>
      <c r="N78" s="327"/>
      <c r="O78" s="327"/>
    </row>
  </sheetData>
  <mergeCells count="17">
    <mergeCell ref="B27:D27"/>
    <mergeCell ref="B28:D28"/>
    <mergeCell ref="B30:E30"/>
    <mergeCell ref="B32:E34"/>
    <mergeCell ref="B42:D42"/>
    <mergeCell ref="B26:D26"/>
    <mergeCell ref="B2:E8"/>
    <mergeCell ref="B14:E14"/>
    <mergeCell ref="B17:E17"/>
    <mergeCell ref="B18:D18"/>
    <mergeCell ref="B19:D19"/>
    <mergeCell ref="B20:D20"/>
    <mergeCell ref="B21:D21"/>
    <mergeCell ref="B22:D22"/>
    <mergeCell ref="B23:D23"/>
    <mergeCell ref="B24:D24"/>
    <mergeCell ref="B25:D25"/>
  </mergeCells>
  <pageMargins left="0.27559055118110237" right="0.27559055118110237" top="0.27559055118110237" bottom="0.27559055118110237" header="0" footer="0"/>
  <pageSetup scale="93" fitToWidth="0" fitToHeight="0" orientation="portrait" r:id="rId1"/>
  <drawing r:id="rId2"/>
  <legacyDrawing r:id="rId3"/>
  <oleObjects>
    <mc:AlternateContent xmlns:mc="http://schemas.openxmlformats.org/markup-compatibility/2006">
      <mc:Choice Requires="x14">
        <oleObject shapeId="18434" r:id="rId4">
          <objectPr defaultSize="0" autoPict="0" r:id="rId5">
            <anchor moveWithCells="1" sizeWithCells="1">
              <from>
                <xdr:col>1</xdr:col>
                <xdr:colOff>323850</xdr:colOff>
                <xdr:row>1</xdr:row>
                <xdr:rowOff>142875</xdr:rowOff>
              </from>
              <to>
                <xdr:col>2</xdr:col>
                <xdr:colOff>95250</xdr:colOff>
                <xdr:row>6</xdr:row>
                <xdr:rowOff>161925</xdr:rowOff>
              </to>
            </anchor>
          </objectPr>
        </oleObject>
      </mc:Choice>
      <mc:Fallback>
        <oleObject shapeId="18434"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19</vt:i4>
      </vt:variant>
    </vt:vector>
  </HeadingPairs>
  <TitlesOfParts>
    <vt:vector size="30" baseType="lpstr">
      <vt:lpstr>ORCAMENTO</vt:lpstr>
      <vt:lpstr>CRONOGRAMA</vt:lpstr>
      <vt:lpstr>CRONOGRAMA REFORMA</vt:lpstr>
      <vt:lpstr>MEMORIA DE CALCULO AMPLIAÇÃO</vt:lpstr>
      <vt:lpstr>MEMORIA DE CÁLCULO REFORMA</vt:lpstr>
      <vt:lpstr>COMPOSICOES AMPLIAÇÃO</vt:lpstr>
      <vt:lpstr>COMPOSICOES REFORMA</vt:lpstr>
      <vt:lpstr>BDI</vt:lpstr>
      <vt:lpstr>BDI Diferenciado</vt:lpstr>
      <vt:lpstr>ENCARGOS SOCIAIS</vt:lpstr>
      <vt:lpstr>Orçamentos</vt:lpstr>
      <vt:lpstr>BDI!Area_de_impressao</vt:lpstr>
      <vt:lpstr>'BDI Diferenciado'!Area_de_impressao</vt:lpstr>
      <vt:lpstr>'COMPOSICOES AMPLIAÇÃO'!Area_de_impressao</vt:lpstr>
      <vt:lpstr>'COMPOSICOES REFORMA'!Area_de_impressao</vt:lpstr>
      <vt:lpstr>CRONOGRAMA!Area_de_impressao</vt:lpstr>
      <vt:lpstr>'CRONOGRAMA REFORMA'!Area_de_impressao</vt:lpstr>
      <vt:lpstr>'ENCARGOS SOCIAIS'!Area_de_impressao</vt:lpstr>
      <vt:lpstr>'MEMORIA DE CALCULO AMPLIAÇÃO'!Area_de_impressao</vt:lpstr>
      <vt:lpstr>'MEMORIA DE CÁLCULO REFORMA'!Area_de_impressao</vt:lpstr>
      <vt:lpstr>ORCAMENTO!Area_de_impressao</vt:lpstr>
      <vt:lpstr>'BDI Diferenciado'!BDI</vt:lpstr>
      <vt:lpstr>BDI</vt:lpstr>
      <vt:lpstr>'COMPOSICOES AMPLIAÇÃO'!Titulos_de_impressao</vt:lpstr>
      <vt:lpstr>'COMPOSICOES REFORMA'!Titulos_de_impressao</vt:lpstr>
      <vt:lpstr>CRONOGRAMA!Titulos_de_impressao</vt:lpstr>
      <vt:lpstr>'CRONOGRAMA REFORMA'!Titulos_de_impressao</vt:lpstr>
      <vt:lpstr>'ENCARGOS SOCIAIS'!Titulos_de_impressao</vt:lpstr>
      <vt:lpstr>'MEMORIA DE CALCULO AMPLIAÇÃO'!Titulos_de_impressao</vt:lpstr>
      <vt:lpstr>ORCAMENTO!Titulos_de_impressao</vt:lpstr>
    </vt:vector>
  </TitlesOfParts>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
  <dcterms:created xsi:type="dcterms:W3CDTF">2017-06-07T15:11:31Z</dcterms:created>
  <dcterms:modified xsi:type="dcterms:W3CDTF">2018-02-22T18:03:56Z</dcterms:modified>
</cp:coreProperties>
</file>